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Default Extension="jpeg" ContentType="image/jpeg"/>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charts/chart1.xml" ContentType="application/vnd.openxmlformats-officedocument.drawingml.char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90" windowWidth="11295" windowHeight="9150" activeTab="1"/>
  </bookViews>
  <sheets>
    <sheet name="BRAINOV" sheetId="2" r:id="rId1"/>
    <sheet name="Calculator } ASSET ALLOCATOR" sheetId="1" r:id="rId2"/>
    <sheet name="FULL REPORT" sheetId="4" r:id="rId3"/>
  </sheets>
  <calcPr calcId="125725"/>
</workbook>
</file>

<file path=xl/calcChain.xml><?xml version="1.0" encoding="utf-8"?>
<calcChain xmlns="http://schemas.openxmlformats.org/spreadsheetml/2006/main">
  <c r="N139" i="4"/>
  <c r="J125"/>
  <c r="C141"/>
  <c r="C139"/>
  <c r="C136"/>
  <c r="J141"/>
  <c r="J139"/>
  <c r="B78" i="2"/>
  <c r="B76"/>
  <c r="H116" i="4"/>
  <c r="H132"/>
  <c r="D132"/>
  <c r="H131"/>
  <c r="D131"/>
  <c r="H115"/>
  <c r="A168"/>
  <c r="A167"/>
  <c r="A166"/>
  <c r="A165"/>
  <c r="D57"/>
  <c r="K55"/>
  <c r="K104" s="1"/>
  <c r="K154" s="1"/>
  <c r="K203" s="1"/>
  <c r="K253" s="1"/>
  <c r="A108"/>
  <c r="A158"/>
  <c r="A207"/>
  <c r="A257"/>
  <c r="C33" i="2"/>
  <c r="C20"/>
  <c r="C21"/>
  <c r="C22"/>
  <c r="H43"/>
  <c r="G43"/>
  <c r="F43"/>
  <c r="E43"/>
  <c r="D43"/>
  <c r="K12"/>
  <c r="H47"/>
  <c r="K6"/>
  <c r="D255" i="4"/>
  <c r="D205"/>
  <c r="E67" i="2"/>
  <c r="E168" i="4"/>
  <c r="E66" i="2"/>
  <c r="E167" i="4"/>
  <c r="E65" i="2"/>
  <c r="E166" i="4"/>
  <c r="E64" i="2"/>
  <c r="E165" i="4"/>
  <c r="D36" i="2"/>
  <c r="D35"/>
  <c r="E35"/>
  <c r="F35"/>
  <c r="G35"/>
  <c r="D156" i="4"/>
  <c r="D106"/>
  <c r="A71"/>
  <c r="E80"/>
  <c r="H17"/>
  <c r="H15"/>
  <c r="G15"/>
  <c r="E17" i="1"/>
  <c r="I28" i="2"/>
  <c r="I27"/>
  <c r="I29"/>
  <c r="I30"/>
  <c r="I33"/>
  <c r="I34"/>
  <c r="I36"/>
  <c r="E55"/>
  <c r="F17" i="1" s="1"/>
  <c r="D56" i="2"/>
  <c r="A72" i="4"/>
  <c r="D54" i="2"/>
  <c r="A70" i="4"/>
  <c r="D61" i="2"/>
  <c r="E85" i="4"/>
  <c r="D60" i="2"/>
  <c r="H70" i="4"/>
  <c r="D59" i="2"/>
  <c r="E83" i="4"/>
  <c r="D58" i="2"/>
  <c r="H68" i="4"/>
  <c r="D57" i="2"/>
  <c r="E81" i="4"/>
  <c r="D53" i="2"/>
  <c r="E78" i="4"/>
  <c r="D52" i="2"/>
  <c r="A68" i="4"/>
  <c r="D51" i="2"/>
  <c r="A67" i="4"/>
  <c r="C34" i="2"/>
  <c r="C36"/>
  <c r="C35"/>
  <c r="C26"/>
  <c r="C30"/>
  <c r="C29"/>
  <c r="C28"/>
  <c r="C27"/>
  <c r="C23"/>
  <c r="H39"/>
  <c r="C17"/>
  <c r="C15"/>
  <c r="E37"/>
  <c r="I35"/>
  <c r="I49"/>
  <c r="Y54" i="1"/>
  <c r="Y55"/>
  <c r="Y56"/>
  <c r="Y53"/>
  <c r="Y52"/>
  <c r="L31" s="1"/>
  <c r="Y48"/>
  <c r="Y49"/>
  <c r="Y50"/>
  <c r="Y47"/>
  <c r="Y46"/>
  <c r="L28" s="1"/>
  <c r="Y42"/>
  <c r="Y43"/>
  <c r="Y44"/>
  <c r="Y41"/>
  <c r="Y40"/>
  <c r="L25" s="1"/>
  <c r="Y36"/>
  <c r="Y37"/>
  <c r="Y38"/>
  <c r="Y35"/>
  <c r="Y34"/>
  <c r="L22" s="1"/>
  <c r="Y30"/>
  <c r="Y31"/>
  <c r="Y32"/>
  <c r="Y29"/>
  <c r="Y28"/>
  <c r="L19" s="1"/>
  <c r="Y22"/>
  <c r="L16" s="1"/>
  <c r="Y24"/>
  <c r="Y25"/>
  <c r="Y26"/>
  <c r="Y23"/>
  <c r="Y18"/>
  <c r="Y19"/>
  <c r="Y20"/>
  <c r="Y17"/>
  <c r="Y16"/>
  <c r="L13" s="1"/>
  <c r="Y12"/>
  <c r="Y13"/>
  <c r="Y14"/>
  <c r="Y11"/>
  <c r="Y10"/>
  <c r="L10" s="1"/>
  <c r="Y6"/>
  <c r="Y7"/>
  <c r="Y8"/>
  <c r="Y5"/>
  <c r="Y4"/>
  <c r="L7" s="1"/>
  <c r="K24" i="2"/>
  <c r="B74" s="1"/>
  <c r="K54"/>
  <c r="K48"/>
  <c r="K42"/>
  <c r="K36"/>
  <c r="K30"/>
  <c r="E68" s="1"/>
  <c r="E169" i="4" s="1"/>
  <c r="K18" i="2"/>
  <c r="I26"/>
  <c r="I22"/>
  <c r="I21"/>
  <c r="I20"/>
  <c r="I17"/>
  <c r="I16"/>
  <c r="I15"/>
  <c r="I12"/>
  <c r="I11"/>
  <c r="I10"/>
  <c r="I9"/>
  <c r="I8"/>
  <c r="E18" i="1"/>
  <c r="E14"/>
  <c r="H67" i="4"/>
  <c r="H69"/>
  <c r="E84"/>
  <c r="I80"/>
  <c r="E77"/>
  <c r="E13" i="1"/>
  <c r="E76" i="4"/>
  <c r="F39" i="2"/>
  <c r="I23"/>
  <c r="G37"/>
  <c r="C16"/>
  <c r="D40"/>
  <c r="H71" i="4"/>
  <c r="E38" i="2"/>
  <c r="G40"/>
  <c r="H40"/>
  <c r="E71" i="4"/>
  <c r="E15" i="1"/>
  <c r="A69" i="4"/>
  <c r="E79"/>
  <c r="E82"/>
  <c r="E16" i="1"/>
  <c r="E39" i="2"/>
  <c r="F38"/>
  <c r="D39"/>
  <c r="H38"/>
  <c r="F37"/>
  <c r="D37"/>
  <c r="H37"/>
  <c r="E40"/>
  <c r="F40"/>
  <c r="G38"/>
  <c r="G39"/>
  <c r="D38"/>
  <c r="B65"/>
  <c r="K59"/>
  <c r="E69" s="1"/>
  <c r="E170" i="4" s="1"/>
  <c r="L59" i="2"/>
  <c r="Y59" i="1" s="1"/>
  <c r="F9" s="1"/>
  <c r="C11" i="2" l="1"/>
  <c r="C9"/>
  <c r="C10"/>
  <c r="C8"/>
  <c r="C12"/>
  <c r="I166" i="4"/>
  <c r="X59" i="1"/>
  <c r="E9" s="1"/>
  <c r="H166" i="4"/>
  <c r="H41" i="2" l="1"/>
  <c r="H44" s="1"/>
  <c r="D41"/>
  <c r="D44" s="1"/>
  <c r="E41"/>
  <c r="E44" s="1"/>
  <c r="G41"/>
  <c r="G44" s="1"/>
  <c r="F41"/>
  <c r="F44" s="1"/>
  <c r="F45" l="1"/>
  <c r="F47"/>
  <c r="F24" i="1"/>
  <c r="E53" i="2" s="1"/>
  <c r="F25" i="1"/>
  <c r="E54" i="2" s="1"/>
  <c r="H45"/>
  <c r="I44"/>
  <c r="F23" i="1"/>
  <c r="E51" i="2" s="1"/>
  <c r="D47"/>
  <c r="D45"/>
  <c r="G23" i="1"/>
  <c r="E52" i="2" s="1"/>
  <c r="E47"/>
  <c r="E45"/>
  <c r="G45"/>
  <c r="J124" i="4" s="1"/>
  <c r="J140" s="1"/>
  <c r="G24" i="1"/>
  <c r="E56" i="2" s="1"/>
  <c r="G47"/>
  <c r="F18" i="1" l="1"/>
  <c r="E61" i="2"/>
  <c r="E72" i="4"/>
  <c r="B77" i="2"/>
  <c r="C140" i="4" s="1"/>
  <c r="B79" i="2"/>
  <c r="E59"/>
  <c r="F15" i="1"/>
  <c r="I78" i="4"/>
  <c r="E69"/>
  <c r="E60" i="2"/>
  <c r="I45"/>
  <c r="B68" s="1"/>
  <c r="C124" i="4" s="1"/>
  <c r="J45" i="2"/>
  <c r="B70" s="1"/>
  <c r="F14" i="1"/>
  <c r="I77" i="4"/>
  <c r="E68"/>
  <c r="I76"/>
  <c r="E67"/>
  <c r="F13" i="1"/>
  <c r="I47" i="2"/>
  <c r="E57"/>
  <c r="F16" i="1"/>
  <c r="I79" i="4"/>
  <c r="E70"/>
  <c r="E58" i="2"/>
  <c r="N124" i="4" l="1"/>
  <c r="N140"/>
  <c r="E174"/>
  <c r="C121" s="1"/>
  <c r="C126"/>
  <c r="C142"/>
  <c r="E173"/>
  <c r="C137" s="1"/>
  <c r="I81"/>
  <c r="J67"/>
  <c r="J71"/>
  <c r="I85"/>
  <c r="I82"/>
  <c r="J68"/>
  <c r="J70"/>
  <c r="I84"/>
  <c r="J69"/>
  <c r="I83"/>
  <c r="O124" l="1"/>
  <c r="O140"/>
</calcChain>
</file>

<file path=xl/sharedStrings.xml><?xml version="1.0" encoding="utf-8"?>
<sst xmlns="http://schemas.openxmlformats.org/spreadsheetml/2006/main" count="277" uniqueCount="190">
  <si>
    <t>Optimized for 1280x1024 resolution and works best with Microsoft Excel 2008 and up.</t>
  </si>
  <si>
    <t>PERFIL DE RISCO</t>
  </si>
  <si>
    <t>BRAIN ASSETALLOCATIONOV</t>
  </si>
  <si>
    <t>BRAIN QUESTIONARIO</t>
  </si>
  <si>
    <t>a</t>
  </si>
  <si>
    <t>b</t>
  </si>
  <si>
    <t>c</t>
  </si>
  <si>
    <t>d</t>
  </si>
  <si>
    <t>ATM GUIDELINE</t>
  </si>
  <si>
    <t>BRAIN</t>
  </si>
  <si>
    <t>PERFIL DO INVESTIDOR</t>
  </si>
  <si>
    <t>BAIXO (&lt; 3%)</t>
  </si>
  <si>
    <t>ALTO(&gt; 5%)</t>
  </si>
  <si>
    <t>MEDIO (3% - 5%)</t>
  </si>
  <si>
    <t>MENOS €50,000</t>
  </si>
  <si>
    <t>€50,001 a €150,000</t>
  </si>
  <si>
    <t>€150,001 a €500,000</t>
  </si>
  <si>
    <t>ACIMA €500,000</t>
  </si>
  <si>
    <t>RENDIMENTO ANUAL BRUTO</t>
  </si>
  <si>
    <t>REFORMADO</t>
  </si>
  <si>
    <t>ACIMA €125,000</t>
  </si>
  <si>
    <t>ABAIXO €35,000</t>
  </si>
  <si>
    <t>€35,000 a €75,000</t>
  </si>
  <si>
    <t>€75,000 a €125,000</t>
  </si>
  <si>
    <t>0 a 34</t>
  </si>
  <si>
    <t>35 a 55</t>
  </si>
  <si>
    <t>55 a 65 (considerado no activo)</t>
  </si>
  <si>
    <t>ACIMA 65</t>
  </si>
  <si>
    <t>IDADE</t>
  </si>
  <si>
    <t>ACTIVOS PARA INVESTIMENTO</t>
  </si>
  <si>
    <t>RENDIMENTO A DESMOBILZIAR</t>
  </si>
  <si>
    <t>Idade</t>
  </si>
  <si>
    <t>ALOCACAO DE ACCOES</t>
  </si>
  <si>
    <t>ALOCACAO DE CAPITAL</t>
  </si>
  <si>
    <t>CATEGORIA DE ACTICOS</t>
  </si>
  <si>
    <t>CATEGORIA DE ACCOES</t>
  </si>
  <si>
    <t>Blue Ships</t>
  </si>
  <si>
    <t>Large Caps</t>
  </si>
  <si>
    <t>Medium Caps</t>
  </si>
  <si>
    <t>Small Caps</t>
  </si>
  <si>
    <t>Emergentes</t>
  </si>
  <si>
    <t>CHART</t>
  </si>
  <si>
    <t>DISCLAIMER</t>
  </si>
  <si>
    <t>ATM – Associação de Investidores e Analistas Técnicos do Mercado de Capitais</t>
  </si>
  <si>
    <t xml:space="preserve">ATM – ASSOCIAÇAO DE INVESTIDORES E ANALISTA TECNICOS DO MERCADO DE CAPITAIS
R. CAP. HENRIQUE GALVÄO Nº 130, 7º DTº FT, 4050-300 PORTO
EMAIL: INFO@ASSOCIACAODEINVESTIDORES.COM TELEMÓVEL: +91 797 00 43 FAX: +1 425 577 6300
</t>
  </si>
  <si>
    <t>RISCOS DE LONGO PRAZO</t>
  </si>
  <si>
    <t>Escolhido pelo Investidor</t>
  </si>
  <si>
    <t>Do portofolio</t>
  </si>
  <si>
    <t>RISCOS DE CURTO PRAZO</t>
  </si>
  <si>
    <t>DADOS DO INVESTIDOR</t>
  </si>
  <si>
    <t>Activos para investimento</t>
  </si>
  <si>
    <t>Rendimento a desmobilizar</t>
  </si>
  <si>
    <t>Rendimento anual bruto</t>
  </si>
  <si>
    <t>Prazo de investimento</t>
  </si>
  <si>
    <t>Tolerancia de risco</t>
  </si>
  <si>
    <t>ASSET ALLOCATOR</t>
  </si>
  <si>
    <t>Portfolio Income Need</t>
  </si>
  <si>
    <t>Annual Income</t>
  </si>
  <si>
    <t>Age</t>
  </si>
  <si>
    <r>
      <t>P</t>
    </r>
    <r>
      <rPr>
        <b/>
        <sz val="8"/>
        <color indexed="8"/>
        <rFont val="Calibri"/>
        <family val="2"/>
      </rPr>
      <t>i</t>
    </r>
  </si>
  <si>
    <r>
      <t>A</t>
    </r>
    <r>
      <rPr>
        <b/>
        <sz val="8"/>
        <color indexed="8"/>
        <rFont val="Calibri"/>
        <family val="2"/>
      </rPr>
      <t>i</t>
    </r>
  </si>
  <si>
    <r>
      <t>A</t>
    </r>
    <r>
      <rPr>
        <b/>
        <sz val="8"/>
        <color indexed="8"/>
        <rFont val="Calibri"/>
        <family val="2"/>
      </rPr>
      <t>g</t>
    </r>
  </si>
  <si>
    <t>Current Assets</t>
  </si>
  <si>
    <r>
      <t>C</t>
    </r>
    <r>
      <rPr>
        <b/>
        <sz val="8"/>
        <color indexed="8"/>
        <rFont val="Calibri"/>
        <family val="2"/>
      </rPr>
      <t>a</t>
    </r>
  </si>
  <si>
    <t>RISK PROFILE</t>
  </si>
  <si>
    <t>Indicate the general level of investment risk you are willing to accept.</t>
  </si>
  <si>
    <t>Low risk</t>
  </si>
  <si>
    <t>Low to medium risk</t>
  </si>
  <si>
    <t>Medium to high risk</t>
  </si>
  <si>
    <t>High risk</t>
  </si>
  <si>
    <t>What level of fluctuation would you generally be comfortable with?</t>
  </si>
  <si>
    <t>What time horizon would you be comfortable with when investing in products the value of which can fluctuate?</t>
  </si>
  <si>
    <t>Fluctuates between -5% and +5%</t>
  </si>
  <si>
    <t>Fluctuates between -15% and +15%</t>
  </si>
  <si>
    <t>Fluctuates between -20% and +20%</t>
  </si>
  <si>
    <t>Fluctuates between &lt;-20% and &gt;+20%</t>
  </si>
  <si>
    <t xml:space="preserve">Less than 1 year </t>
  </si>
  <si>
    <t>Between 1 and 3 years</t>
  </si>
  <si>
    <t>Between 4 and 5 years</t>
  </si>
  <si>
    <t>Over 5 years</t>
  </si>
  <si>
    <t>Which of the following best describes your investment objectives &amp; temperament?</t>
  </si>
  <si>
    <t>A combination of preservation of capital, and capital appreciation, with the primary consideration being preservation of capital.</t>
  </si>
  <si>
    <t>A combination of capital appreciation and current income, with the primary consideration being growth of capital.</t>
  </si>
  <si>
    <t>I plan to begin withdrawing money from my investments within:</t>
  </si>
  <si>
    <t>Less than 3 years</t>
  </si>
  <si>
    <t>Between 3 and 5 years</t>
  </si>
  <si>
    <t>Between 6 and 10 years</t>
  </si>
  <si>
    <t>Over 10 years</t>
  </si>
  <si>
    <t>Preservation of capital without losing any capital.</t>
  </si>
  <si>
    <t>Maximum capital appreciation (long-term growth), accepting higher risk and volatility.</t>
  </si>
  <si>
    <t>How familiar are you with investment markets?</t>
  </si>
  <si>
    <t>Very little understanding or interest.</t>
  </si>
  <si>
    <t>Not very familiar.</t>
  </si>
  <si>
    <t>I am experienced with all investment sectors and understand the various factors which influence performance.</t>
  </si>
  <si>
    <t>I understand that markets fluctuate and that different market sectors offer different income, growth and taxation characteristics.</t>
  </si>
  <si>
    <t>Horror. Security of your capital is critical and you did not intend to take risks.</t>
  </si>
  <si>
    <t>You would cut your losses and transfer your funds into more secure investment sectors.</t>
  </si>
  <si>
    <t>You would be concerned, but would wait to see if the investments improve.</t>
  </si>
  <si>
    <t>This was a calculated risk and you would leave the investments in place, expecting performance to improve.</t>
  </si>
  <si>
    <t>What would your reaction be if your long-term investment has decreased in value by 20%?</t>
  </si>
  <si>
    <t>How many months of your share of household expenses have you put aside to meet unforeseen events?</t>
  </si>
  <si>
    <t>Have no amount set aside for unforeseen events</t>
  </si>
  <si>
    <t>Less than 3 months</t>
  </si>
  <si>
    <t>Between 3 months and 9 months</t>
  </si>
  <si>
    <t>Over 9 months</t>
  </si>
  <si>
    <t>Risk Profile Questionnaire</t>
  </si>
  <si>
    <t>There may be significant changes for the worse on the horizon.</t>
  </si>
  <si>
    <t>Everything seems stable and okay for now, but I’m worried.</t>
  </si>
  <si>
    <t>Everything seems stable and okay for the foreseeable future, and may improve.</t>
  </si>
  <si>
    <t>Everything seems like it will improve substantially over the foreseeable future.</t>
  </si>
  <si>
    <t>Do you expect any significant changes in your cash flow, health, and unforeseen expenditures?</t>
  </si>
  <si>
    <t>Absolute Return</t>
  </si>
  <si>
    <t>Real Assets</t>
  </si>
  <si>
    <t>Fixed Income</t>
  </si>
  <si>
    <t>Cash</t>
  </si>
  <si>
    <t>Equity</t>
  </si>
  <si>
    <t>Private Equity</t>
  </si>
  <si>
    <t>CONSERVATIVE</t>
  </si>
  <si>
    <t>CAUTIOUS</t>
  </si>
  <si>
    <t>BALANCED</t>
  </si>
  <si>
    <t>ASSERTIVE</t>
  </si>
  <si>
    <t>AGGRESSIVE</t>
  </si>
  <si>
    <t>Foreign</t>
  </si>
  <si>
    <t>This report reflects assumptions contained in the Notes.</t>
  </si>
  <si>
    <t>1. Suggested allocation</t>
  </si>
  <si>
    <t>3. Risk profile</t>
  </si>
  <si>
    <t>All statements included or incorporated by reference in this report, other than statements or characterizations of historical fact, are forward-looking statements based on estimates, assumptions and projections, all of which are subject to change. These forward-looking statements are based on currently available financial, competitive and economic data and based on assumptions regarding future events. These forward-looking statements are not guarantees of future results and are subject to risks, uncertainties and assumptions that are difficult to predict and that could cause our actual results to differ materially and adversely from those expressed in any forward-looking statement.  The risks and uncertainties referred to above include, but are not limited to, risks associated with our asset allocator model; our ability to develop a good asset allocation and other factors such as the availability to predict the market direction and the resulting effects of technology errors; possible fluctuations; interruptions or delays our operations; breaches of our security measures, if any; and various other factors We undertake no obligation to revise or update publicly any forward-looking statement for any reason.</t>
  </si>
  <si>
    <t>CAUTIONARY STATEMENT</t>
  </si>
  <si>
    <t xml:space="preserve">The asset allocator is provided with the objective to promote the study and finance formation. Any use of the provided asset allocator as is without warranty of any kind. The user of the asset allocator assumes the entire risk of any use made of the model. In no event shall the author of asset allocator be able to the user for any direct or indirect damages, including without limitation any lost profits, lost savings or other incidental or consequential damages arising out of the use of the asset allocator. This is not a recommendation to buy or sell, but an interpretation and opinion of the possible asset allocation without any guarantee. The author accepts no liability whatsoever for any loss arising from any use of this interpretation and opinion. This material may contain confidential and/or privileged information. If you are not the intended recipient (or have received in error) please notify the sender immediately and destroy this report. Any unauthorized copying, disclosure or distribution of the material in this report is strictly forbidden.
</t>
  </si>
  <si>
    <t>Refer to Important disclosures at the end of this report.</t>
  </si>
  <si>
    <t>The risk profile questionnaire is designed to assist you in identifying the type of investor you are. It may help you to understand the issues that need to be considered in determining the investment option or options suitable for you. However, the questionnaire should not be seen as a substitute for professional advice from a licensed investment adviser who takes into account your personal situation, financial circumstances and needs.</t>
  </si>
  <si>
    <t>ASSET ALLOCATION REPORT FOR</t>
  </si>
  <si>
    <t>Your Name</t>
  </si>
  <si>
    <t>EQUITY</t>
  </si>
  <si>
    <t>ASSET CLASS</t>
  </si>
  <si>
    <t>LONG-TERM RISKS</t>
  </si>
  <si>
    <t>SHORT-TERM RISKS</t>
  </si>
  <si>
    <t xml:space="preserve">Investor's risk tolerance </t>
  </si>
  <si>
    <t>AGE</t>
  </si>
  <si>
    <t>Investor's Risk Tolerance</t>
  </si>
  <si>
    <t>Investment Time Horizon</t>
  </si>
  <si>
    <t>2. Stress test</t>
  </si>
  <si>
    <t>Your Risk Profile in this survey suggest the following risk:</t>
  </si>
  <si>
    <t>Highest</t>
  </si>
  <si>
    <t>High</t>
  </si>
  <si>
    <t>Medium</t>
  </si>
  <si>
    <t>Low</t>
  </si>
  <si>
    <t>Slightest</t>
  </si>
  <si>
    <t xml:space="preserve">Scenario: </t>
  </si>
  <si>
    <t>Equity falling</t>
  </si>
  <si>
    <t>Short-term risks are associated with wide market fluctuations, when the portfolio is insufficiently diversified.</t>
  </si>
  <si>
    <t>INVESTOR'S RISK TOLERANCE</t>
  </si>
  <si>
    <t>INVESTOR INPUT SELECTIONS</t>
  </si>
  <si>
    <t>CURRENT ASSETS</t>
  </si>
  <si>
    <t>ANNUAL INCOME</t>
  </si>
  <si>
    <t>PORTFOLIO INCOME NEED</t>
  </si>
  <si>
    <t xml:space="preserve">The investor's age is the most important aspect of asset allocation (average weight is 30%). The younger the investor is, the less likely it is for him to need the money any time soon. This allows him to invest more aggressively in stocks that generally provide the best long-term returns. As the investor gets older, it is advisable to move more of his investments to securities with less volatility, such as cash and bonds. This can help insure the money is available when he needs it.
</t>
  </si>
  <si>
    <t xml:space="preserve">This is the net worth (value) of the portfolio. It's exposure to higher risk assets increases as the portfolio value increases. This happens because larger portfolios allow a larger choice of higher risk assets, thus investors with larger portfolios can invest more agressively. 
</t>
  </si>
  <si>
    <t>This is the percentage of income needed from the investor’s investment portfolio. Most people do not require any income from their investments until they retire.</t>
  </si>
  <si>
    <t xml:space="preserve">Investor who want current income and relative stability and is not concerned about the negative effects of tax and inflation. Risk must be very low and the is prepared to accept lower returns to protect capital. </t>
  </si>
  <si>
    <t>Investor who wants current income and relative stability seeking better than basic returns but risk must be low. The Cautious investor is seeking modest potential increase in value of the investment portfolio to protect the wealth that he has accumulated.</t>
  </si>
  <si>
    <t>4. Notes</t>
  </si>
  <si>
    <t>5. Additional notes and disclosures</t>
  </si>
  <si>
    <t>Investor who doesn’t need current income and wants some growth potential. The Balanced investor wants a balanced portfolio to work towards medium to long-term financial goals. The Balanced investor tolerates calculated risk and the portfolio value fluctuation to achieve good returns, but he/she wants less risk than the overall stock market.</t>
  </si>
  <si>
    <t>Investor wants long-term capital growth potential by investing mostly in growth assets. The Assertive investor remains cautious towards taking high levels of long-term risks, but accepts a fair amount of short-term risk and is prepared to accept higher volatility and moderate long-term risks. The primary concern is to accumulate assets over the medium to long term.</t>
  </si>
  <si>
    <t xml:space="preserve">Aggressive investor is prepared to compromise portfolio balance seeking maximize long-term capital returns by investing predominantly in growth assets. The Aggressive investor is well aware of the heightened potential for capital loss in short term and accepts high levels of long-term risks, but this investor general understanding that equity investments tend to perform much better in the long term (over six years) than other traditional assets. </t>
  </si>
  <si>
    <t>4.1. About risk profile</t>
  </si>
  <si>
    <t>RISK WARNINGS</t>
  </si>
  <si>
    <t>Domestic and Foreign Equity</t>
  </si>
  <si>
    <t xml:space="preserve">Past performance is no assurance or indicator of future returns. 
The investment in equity carries with it a high degree of risk, special in the short term, and not constitute the sole or main investment of any investor’s portfolio.
Private Equity/Venture Capital carries a high level of risk, and may not be suitable for all investors. 
An investment in Foreign Equity entails the special risk of international investing, including currency exchange fluctuation, government regulations and other potential risk for the political and economic instability. 
An investment in Small Capitalization companies entails additional risk, since smaller companies generally have a higher risk of failure and, generally, has a more volatility than large caps stocks. 
An investment in Medium Capitalization companies entails additional risk, since medium companies generally have a higher risk of failure and, generally, has more volatility than large caps stocks.
An investment in Blue Ships or Large Capitalization companies generally has more volatility and entails more risk than other forms of investments, such as investments in Absolute Return, Real Assets or Fixed Income.
This information is for general guidance only
</t>
  </si>
  <si>
    <t>MODEL PORTFOLIO</t>
  </si>
  <si>
    <t>The larger an investor's annual income, the lower the probability he'll need money from his investment porfolio, and the greater the possibility of saving to increase its size. The more the investor can save, the more agressive the investment strategy can be.</t>
  </si>
  <si>
    <t xml:space="preserve">The investor's risk profile reflects the investor's ability to tolerate risk and portfolio volatility. The risk profile is the investor's perception of the acceptable trade-off between risk and reward. If the investor wants higher returns, he/she needs to accept a higher degree of risk.
</t>
  </si>
  <si>
    <t>ASSOCIACAO DE INVESTIDORES</t>
  </si>
  <si>
    <t>ATM</t>
  </si>
  <si>
    <t>ALOCAÇÃO IDEAL DE ACTIVOS DE ACORDO COM O SEU PERFIL DE INVESTIDOR</t>
  </si>
  <si>
    <t>Desgined and developed by Octávio Viana © 2007-2008 ATM | associação de investidores All Rights Reserved</t>
  </si>
  <si>
    <t xml:space="preserve">  ATM – ASSOCIAÇÃO DE INVESTIDORES</t>
  </si>
  <si>
    <t xml:space="preserve">Desgined and developed by Octávio Viana © 2007-2008 ATM associação de investidores | All Rights Reserved. </t>
  </si>
  <si>
    <t xml:space="preserve">The ATM Model Portfolio, based on the risk profile questionnaire, recomends one of five possible risk profiles. When combined with the other investor profiles, this allows for 1200 specialized investment strategies with different risk and return profiles. The underlying analytics used to construct the ATM Asset Allocator Model Portfolio are a combination of the Yale University endowment asset allocation strategy, and our own risk/return backtests and experience.
</t>
  </si>
  <si>
    <t>RETURN</t>
  </si>
  <si>
    <t>other classes of assets valued at a risk-free rate of 3%</t>
  </si>
  <si>
    <t>EQUITY PERDE 50%</t>
  </si>
  <si>
    <t>EQUITY PERDE 100%</t>
  </si>
  <si>
    <t>Maximum Short-Term Risk</t>
  </si>
  <si>
    <t>Maximum Long-Term Risk</t>
  </si>
  <si>
    <t>Equity loss 100% and other classes of assets valued at a risk-free rate of 3%</t>
  </si>
  <si>
    <t>ACTIVOS DE RISCO PERDEM 50%</t>
  </si>
  <si>
    <t>ACTIVOS DE RISCO PERDEM 100%</t>
  </si>
  <si>
    <t>LOSS</t>
  </si>
</sst>
</file>

<file path=xl/styles.xml><?xml version="1.0" encoding="utf-8"?>
<styleSheet xmlns="http://schemas.openxmlformats.org/spreadsheetml/2006/main">
  <numFmts count="11">
    <numFmt numFmtId="164" formatCode="#,##0\ &quot;€&quot;"/>
    <numFmt numFmtId="165" formatCode="0.0%"/>
    <numFmt numFmtId="166" formatCode="[$-816]d\ &quot;de&quot;\ mmmm;@"/>
    <numFmt numFmtId="167" formatCode="yyyy;@"/>
    <numFmt numFmtId="168" formatCode="[$-F800]dddd\,\ mmmm\ dd\,\ yyyy"/>
    <numFmt numFmtId="169" formatCode="0.0"/>
    <numFmt numFmtId="170" formatCode="[$$-409]#,##0"/>
    <numFmt numFmtId="171" formatCode="0.000%"/>
    <numFmt numFmtId="172" formatCode="0.0000%"/>
    <numFmt numFmtId="173" formatCode="#,###\ &quot;on a scale from 1 to 9&quot;"/>
    <numFmt numFmtId="175" formatCode="0.000000%"/>
  </numFmts>
  <fonts count="60">
    <font>
      <sz val="11"/>
      <color theme="1"/>
      <name val="Calibri"/>
      <family val="2"/>
      <scheme val="minor"/>
    </font>
    <font>
      <b/>
      <sz val="8"/>
      <color indexed="8"/>
      <name val="Calibri"/>
      <family val="2"/>
    </font>
    <font>
      <sz val="11"/>
      <color theme="0"/>
      <name val="Calibri"/>
      <family val="2"/>
      <scheme val="minor"/>
    </font>
    <font>
      <b/>
      <sz val="11"/>
      <color theme="0"/>
      <name val="Calibri"/>
      <family val="2"/>
      <scheme val="minor"/>
    </font>
    <font>
      <b/>
      <sz val="11"/>
      <color theme="1"/>
      <name val="Calibri"/>
      <family val="2"/>
      <scheme val="minor"/>
    </font>
    <font>
      <sz val="8"/>
      <color theme="1"/>
      <name val="Calibri"/>
      <family val="2"/>
      <scheme val="minor"/>
    </font>
    <font>
      <sz val="8"/>
      <color theme="0" tint="-0.249977111117893"/>
      <name val="Arial Narrow"/>
      <family val="2"/>
    </font>
    <font>
      <b/>
      <sz val="16"/>
      <color theme="1"/>
      <name val="Calibri"/>
      <family val="2"/>
      <scheme val="minor"/>
    </font>
    <font>
      <b/>
      <sz val="14"/>
      <color theme="0"/>
      <name val="Calibri"/>
      <family val="2"/>
      <scheme val="minor"/>
    </font>
    <font>
      <sz val="9"/>
      <color theme="1"/>
      <name val="Calibri"/>
      <family val="2"/>
      <scheme val="minor"/>
    </font>
    <font>
      <b/>
      <sz val="14"/>
      <color indexed="8"/>
      <name val="Calibri"/>
      <family val="2"/>
      <scheme val="minor"/>
    </font>
    <font>
      <b/>
      <sz val="11"/>
      <name val="Calibri"/>
      <family val="2"/>
      <scheme val="minor"/>
    </font>
    <font>
      <sz val="9"/>
      <color theme="1"/>
      <name val="Arial Narrow"/>
      <family val="2"/>
    </font>
    <font>
      <sz val="11"/>
      <name val="Calibri"/>
      <family val="2"/>
      <scheme val="minor"/>
    </font>
    <font>
      <sz val="10"/>
      <color theme="1"/>
      <name val="Arial Narrow"/>
      <family val="2"/>
    </font>
    <font>
      <sz val="10"/>
      <color theme="1" tint="4.9989318521683403E-2"/>
      <name val="Arial Narrow"/>
      <family val="2"/>
    </font>
    <font>
      <b/>
      <sz val="36"/>
      <color theme="4" tint="-0.249977111117893"/>
      <name val="Arial Black"/>
      <family val="2"/>
    </font>
    <font>
      <sz val="11"/>
      <color rgb="FF93CDDD"/>
      <name val="Calibri"/>
      <family val="2"/>
      <scheme val="minor"/>
    </font>
    <font>
      <b/>
      <sz val="14"/>
      <color theme="1"/>
      <name val="Calibri"/>
      <family val="2"/>
      <scheme val="minor"/>
    </font>
    <font>
      <sz val="8"/>
      <color theme="0"/>
      <name val="Calibri"/>
      <family val="2"/>
      <scheme val="minor"/>
    </font>
    <font>
      <sz val="20"/>
      <color theme="1"/>
      <name val="Calibri"/>
      <family val="2"/>
      <scheme val="minor"/>
    </font>
    <font>
      <sz val="8"/>
      <color theme="1"/>
      <name val="Arial Narrow"/>
      <family val="2"/>
    </font>
    <font>
      <b/>
      <sz val="8"/>
      <color theme="1"/>
      <name val="Arial Narrow"/>
      <family val="2"/>
    </font>
    <font>
      <b/>
      <sz val="8"/>
      <color theme="4" tint="-0.249977111117893"/>
      <name val="Arial Narrow"/>
      <family val="2"/>
    </font>
    <font>
      <sz val="9"/>
      <color theme="0" tint="-0.499984740745262"/>
      <name val="Calibri"/>
      <family val="2"/>
      <scheme val="minor"/>
    </font>
    <font>
      <b/>
      <sz val="8"/>
      <color theme="0"/>
      <name val="Calibri"/>
      <family val="2"/>
      <scheme val="minor"/>
    </font>
    <font>
      <sz val="72"/>
      <color theme="3" tint="-0.249977111117893"/>
      <name val="Calibri"/>
      <family val="2"/>
      <scheme val="minor"/>
    </font>
    <font>
      <b/>
      <sz val="9"/>
      <color theme="1"/>
      <name val="Arial Narrow"/>
      <family val="2"/>
    </font>
    <font>
      <sz val="48"/>
      <color theme="1"/>
      <name val="Calibri"/>
      <family val="2"/>
      <scheme val="minor"/>
    </font>
    <font>
      <b/>
      <sz val="100"/>
      <color theme="4" tint="-0.249977111117893"/>
      <name val="Arial Black"/>
      <family val="2"/>
    </font>
    <font>
      <b/>
      <sz val="52"/>
      <color theme="0"/>
      <name val="Arial Narrow"/>
      <family val="2"/>
    </font>
    <font>
      <b/>
      <sz val="20"/>
      <color theme="0"/>
      <name val="Calibri"/>
      <family val="2"/>
      <scheme val="minor"/>
    </font>
    <font>
      <b/>
      <sz val="18"/>
      <color theme="4" tint="-0.249977111117893"/>
      <name val="Calibri"/>
      <family val="2"/>
      <scheme val="minor"/>
    </font>
    <font>
      <b/>
      <sz val="18"/>
      <color theme="4" tint="0.79998168889431442"/>
      <name val="Calibri"/>
      <family val="2"/>
      <scheme val="minor"/>
    </font>
    <font>
      <b/>
      <sz val="10"/>
      <color theme="0"/>
      <name val="Arial Narrow"/>
      <family val="2"/>
    </font>
    <font>
      <b/>
      <sz val="28"/>
      <color theme="1"/>
      <name val="Arial Narrow"/>
      <family val="2"/>
    </font>
    <font>
      <b/>
      <sz val="10"/>
      <color theme="0"/>
      <name val="Calibri"/>
      <family val="2"/>
      <scheme val="minor"/>
    </font>
    <font>
      <b/>
      <sz val="20"/>
      <color theme="1"/>
      <name val="Arial Narrow"/>
      <family val="2"/>
    </font>
    <font>
      <b/>
      <sz val="10"/>
      <color theme="1"/>
      <name val="Arial Narrow"/>
      <family val="2"/>
    </font>
    <font>
      <b/>
      <sz val="11"/>
      <color theme="0"/>
      <name val="Arial Narrow"/>
      <family val="2"/>
    </font>
    <font>
      <sz val="8"/>
      <color theme="0" tint="-0.499984740745262"/>
      <name val="Arial Narrow"/>
      <family val="2"/>
    </font>
    <font>
      <b/>
      <sz val="16"/>
      <color theme="4" tint="-0.249977111117893"/>
      <name val="Arial Narrow"/>
      <family val="2"/>
    </font>
    <font>
      <sz val="8"/>
      <color theme="0" tint="-0.34998626667073579"/>
      <name val="Arial Narrow"/>
      <family val="2"/>
    </font>
    <font>
      <b/>
      <sz val="18"/>
      <color theme="0"/>
      <name val="Calibri"/>
      <family val="2"/>
      <scheme val="minor"/>
    </font>
    <font>
      <sz val="11"/>
      <color theme="1" tint="0.499984740745262"/>
      <name val="Calibri"/>
      <family val="2"/>
      <scheme val="minor"/>
    </font>
    <font>
      <b/>
      <sz val="11"/>
      <color rgb="FFFF0000"/>
      <name val="Calibri"/>
      <family val="2"/>
      <scheme val="minor"/>
    </font>
    <font>
      <sz val="8"/>
      <color theme="0" tint="-0.499984740745262"/>
      <name val="Calibri"/>
      <family val="2"/>
      <scheme val="minor"/>
    </font>
    <font>
      <sz val="11"/>
      <color rgb="FF808080"/>
      <name val="Calibri"/>
      <family val="2"/>
      <scheme val="minor"/>
    </font>
    <font>
      <b/>
      <sz val="16"/>
      <color theme="8" tint="-0.249977111117893"/>
      <name val="Calibri"/>
      <family val="2"/>
      <scheme val="minor"/>
    </font>
    <font>
      <b/>
      <sz val="11"/>
      <color rgb="FF000000"/>
      <name val="Calibri"/>
      <family val="2"/>
      <scheme val="minor"/>
    </font>
    <font>
      <b/>
      <sz val="11"/>
      <color theme="1"/>
      <name val="Arial Narrow"/>
      <family val="2"/>
    </font>
    <font>
      <b/>
      <sz val="12"/>
      <color theme="1"/>
      <name val="Arial Narrow"/>
      <family val="2"/>
    </font>
    <font>
      <b/>
      <sz val="12"/>
      <color theme="8" tint="-0.249977111117893"/>
      <name val="Arial Narrow"/>
      <family val="2"/>
    </font>
    <font>
      <b/>
      <sz val="30"/>
      <color theme="1"/>
      <name val="Cambria"/>
      <family val="1"/>
      <scheme val="major"/>
    </font>
    <font>
      <sz val="20"/>
      <color theme="1"/>
      <name val="Cambria"/>
      <family val="1"/>
      <scheme val="major"/>
    </font>
    <font>
      <sz val="56"/>
      <color theme="4" tint="-0.249977111117893"/>
      <name val="Cambria"/>
      <family val="1"/>
      <scheme val="major"/>
    </font>
    <font>
      <sz val="10"/>
      <color theme="0" tint="-0.499984740745262"/>
      <name val="Arial Narrow"/>
      <family val="2"/>
    </font>
    <font>
      <b/>
      <sz val="16"/>
      <color theme="0" tint="-0.499984740745262"/>
      <name val="Arial Narrow"/>
      <family val="2"/>
    </font>
    <font>
      <sz val="11"/>
      <color theme="1"/>
      <name val="Arial Narrow"/>
      <family val="2"/>
    </font>
    <font>
      <sz val="9"/>
      <color theme="0" tint="-0.249977111117893"/>
      <name val="Calibri"/>
      <family val="2"/>
      <scheme val="minor"/>
    </font>
  </fonts>
  <fills count="33">
    <fill>
      <patternFill patternType="none"/>
    </fill>
    <fill>
      <patternFill patternType="gray125"/>
    </fill>
    <fill>
      <patternFill patternType="solid">
        <fgColor theme="8" tint="0.39997558519241921"/>
        <bgColor indexed="64"/>
      </patternFill>
    </fill>
    <fill>
      <patternFill patternType="solid">
        <fgColor rgb="FF93CDDD"/>
        <bgColor indexed="64"/>
      </patternFill>
    </fill>
    <fill>
      <patternFill patternType="solid">
        <fgColor theme="4" tint="0.59999389629810485"/>
        <bgColor indexed="64"/>
      </patternFill>
    </fill>
    <fill>
      <patternFill patternType="solid">
        <fgColor theme="4" tint="-0.249977111117893"/>
        <bgColor indexed="64"/>
      </patternFill>
    </fill>
    <fill>
      <patternFill patternType="solid">
        <fgColor theme="3" tint="0.59999389629810485"/>
        <bgColor indexed="64"/>
      </patternFill>
    </fill>
    <fill>
      <patternFill patternType="solid">
        <fgColor theme="9" tint="0.59999389629810485"/>
        <bgColor indexed="64"/>
      </patternFill>
    </fill>
    <fill>
      <patternFill patternType="solid">
        <fgColor theme="3" tint="0.39997558519241921"/>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theme="0"/>
        <bgColor indexed="64"/>
      </patternFill>
    </fill>
    <fill>
      <patternFill patternType="solid">
        <fgColor rgb="FF538ED5"/>
        <bgColor indexed="64"/>
      </patternFill>
    </fill>
    <fill>
      <patternFill patternType="solid">
        <fgColor rgb="FFFAC090"/>
        <bgColor indexed="64"/>
      </patternFill>
    </fill>
    <fill>
      <patternFill patternType="solid">
        <fgColor rgb="FFD99795"/>
        <bgColor indexed="64"/>
      </patternFill>
    </fill>
    <fill>
      <patternFill patternType="solid">
        <fgColor rgb="FFC2D69A"/>
        <bgColor indexed="64"/>
      </patternFill>
    </fill>
    <fill>
      <patternFill patternType="solid">
        <fgColor rgb="FFB2A1C7"/>
        <bgColor indexed="64"/>
      </patternFill>
    </fill>
    <fill>
      <patternFill patternType="solid">
        <fgColor theme="8" tint="-0.249977111117893"/>
        <bgColor indexed="64"/>
      </patternFill>
    </fill>
    <fill>
      <patternFill patternType="solid">
        <fgColor theme="3" tint="-0.249977111117893"/>
        <bgColor indexed="64"/>
      </patternFill>
    </fill>
    <fill>
      <patternFill patternType="solid">
        <fgColor theme="3" tint="0.79998168889431442"/>
        <bgColor indexed="64"/>
      </patternFill>
    </fill>
    <fill>
      <patternFill patternType="solid">
        <fgColor rgb="FFFFFF00"/>
        <bgColor indexed="64"/>
      </patternFill>
    </fill>
    <fill>
      <patternFill patternType="solid">
        <fgColor theme="4" tint="0.79998168889431442"/>
        <bgColor indexed="64"/>
      </patternFill>
    </fill>
    <fill>
      <patternFill patternType="solid">
        <fgColor theme="1" tint="0.34998626667073579"/>
        <bgColor indexed="64"/>
      </patternFill>
    </fill>
    <fill>
      <patternFill patternType="solid">
        <fgColor rgb="FFBD1003"/>
        <bgColor indexed="64"/>
      </patternFill>
    </fill>
    <fill>
      <patternFill patternType="solid">
        <fgColor theme="7" tint="-0.249977111117893"/>
        <bgColor indexed="64"/>
      </patternFill>
    </fill>
    <fill>
      <patternFill patternType="solid">
        <fgColor rgb="FF0094C8"/>
        <bgColor indexed="64"/>
      </patternFill>
    </fill>
    <fill>
      <patternFill patternType="solid">
        <fgColor theme="9" tint="-0.249977111117893"/>
        <bgColor indexed="64"/>
      </patternFill>
    </fill>
    <fill>
      <patternFill patternType="solid">
        <fgColor rgb="FF92D050"/>
        <bgColor indexed="64"/>
      </patternFill>
    </fill>
    <fill>
      <patternFill patternType="solid">
        <fgColor rgb="FF00B0F0"/>
        <bgColor indexed="64"/>
      </patternFill>
    </fill>
    <fill>
      <patternFill patternType="solid">
        <fgColor rgb="FFCD2121"/>
        <bgColor indexed="64"/>
      </patternFill>
    </fill>
  </fills>
  <borders count="56">
    <border>
      <left/>
      <right/>
      <top/>
      <bottom/>
      <diagonal/>
    </border>
    <border>
      <left style="medium">
        <color indexed="64"/>
      </left>
      <right/>
      <top/>
      <bottom/>
      <diagonal/>
    </border>
    <border>
      <left/>
      <right style="medium">
        <color indexed="64"/>
      </right>
      <top/>
      <bottom/>
      <diagonal/>
    </border>
    <border>
      <left/>
      <right/>
      <top style="thin">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style="medium">
        <color rgb="FF333333"/>
      </left>
      <right/>
      <top style="medium">
        <color indexed="64"/>
      </top>
      <bottom style="medium">
        <color rgb="FF333333"/>
      </bottom>
      <diagonal/>
    </border>
    <border>
      <left style="medium">
        <color indexed="64"/>
      </left>
      <right style="medium">
        <color indexed="64"/>
      </right>
      <top style="medium">
        <color indexed="64"/>
      </top>
      <bottom style="medium">
        <color rgb="FF333333"/>
      </bottom>
      <diagonal/>
    </border>
    <border>
      <left/>
      <right/>
      <top style="medium">
        <color indexed="64"/>
      </top>
      <bottom style="medium">
        <color rgb="FF333333"/>
      </bottom>
      <diagonal/>
    </border>
    <border>
      <left style="thick">
        <color theme="0" tint="-0.499984740745262"/>
      </left>
      <right/>
      <top/>
      <bottom/>
      <diagonal/>
    </border>
    <border>
      <left style="thick">
        <color theme="0" tint="-0.499984740745262"/>
      </left>
      <right/>
      <top/>
      <bottom style="thick">
        <color theme="0" tint="-0.499984740745262"/>
      </bottom>
      <diagonal/>
    </border>
    <border>
      <left/>
      <right/>
      <top/>
      <bottom style="medium">
        <color theme="8" tint="-0.24994659260841701"/>
      </bottom>
      <diagonal/>
    </border>
    <border>
      <left/>
      <right style="thick">
        <color theme="0" tint="-0.499984740745262"/>
      </right>
      <top/>
      <bottom/>
      <diagonal/>
    </border>
    <border>
      <left/>
      <right/>
      <top/>
      <bottom style="thick">
        <color theme="0" tint="-0.499984740745262"/>
      </bottom>
      <diagonal/>
    </border>
    <border>
      <left/>
      <right style="thick">
        <color theme="0" tint="-0.499984740745262"/>
      </right>
      <top/>
      <bottom style="thick">
        <color theme="0" tint="-0.499984740745262"/>
      </bottom>
      <diagonal/>
    </border>
  </borders>
  <cellStyleXfs count="1">
    <xf numFmtId="0" fontId="0" fillId="0" borderId="0"/>
  </cellStyleXfs>
  <cellXfs count="355">
    <xf numFmtId="0" fontId="0" fillId="0" borderId="0" xfId="0"/>
    <xf numFmtId="0" fontId="0" fillId="2" borderId="0" xfId="0" applyFill="1" applyProtection="1"/>
    <xf numFmtId="0" fontId="0" fillId="2" borderId="1" xfId="0" applyFill="1" applyBorder="1" applyProtection="1"/>
    <xf numFmtId="0" fontId="0" fillId="2" borderId="0" xfId="0" applyFill="1" applyBorder="1" applyProtection="1"/>
    <xf numFmtId="0" fontId="0" fillId="2" borderId="2" xfId="0" applyFill="1" applyBorder="1" applyProtection="1"/>
    <xf numFmtId="0" fontId="4" fillId="2" borderId="0" xfId="0" applyFont="1" applyFill="1" applyBorder="1" applyAlignment="1" applyProtection="1"/>
    <xf numFmtId="0" fontId="0" fillId="2" borderId="3" xfId="0" applyFill="1" applyBorder="1" applyProtection="1"/>
    <xf numFmtId="0" fontId="0" fillId="2" borderId="4" xfId="0" applyFill="1" applyBorder="1" applyProtection="1"/>
    <xf numFmtId="0" fontId="5" fillId="2" borderId="5" xfId="0" applyFont="1" applyFill="1" applyBorder="1" applyProtection="1"/>
    <xf numFmtId="0" fontId="0" fillId="2" borderId="5" xfId="0" applyFill="1" applyBorder="1" applyProtection="1"/>
    <xf numFmtId="0" fontId="6" fillId="2" borderId="5" xfId="0" applyFont="1" applyFill="1" applyBorder="1" applyAlignment="1" applyProtection="1"/>
    <xf numFmtId="0" fontId="0" fillId="3" borderId="0" xfId="0" applyFill="1" applyBorder="1" applyProtection="1"/>
    <xf numFmtId="0" fontId="4" fillId="3" borderId="0" xfId="0" applyFont="1" applyFill="1" applyBorder="1" applyAlignment="1" applyProtection="1"/>
    <xf numFmtId="0" fontId="7" fillId="3" borderId="0" xfId="0" applyFont="1" applyFill="1" applyBorder="1" applyAlignment="1" applyProtection="1"/>
    <xf numFmtId="0" fontId="8" fillId="3" borderId="0" xfId="0" applyFont="1" applyFill="1" applyBorder="1" applyAlignment="1" applyProtection="1"/>
    <xf numFmtId="0" fontId="9" fillId="2" borderId="0" xfId="0" applyFont="1" applyFill="1" applyAlignment="1" applyProtection="1"/>
    <xf numFmtId="0" fontId="0" fillId="2" borderId="0" xfId="0" applyFont="1" applyFill="1" applyBorder="1" applyAlignment="1" applyProtection="1">
      <alignment horizontal="left"/>
    </xf>
    <xf numFmtId="0" fontId="10" fillId="2" borderId="6" xfId="0" applyFont="1" applyFill="1" applyBorder="1" applyAlignment="1" applyProtection="1">
      <alignment horizontal="center" vertical="center"/>
    </xf>
    <xf numFmtId="0" fontId="0" fillId="2" borderId="7" xfId="0" applyFill="1" applyBorder="1" applyProtection="1"/>
    <xf numFmtId="49" fontId="0" fillId="4" borderId="0" xfId="0" applyNumberFormat="1" applyFont="1" applyFill="1" applyAlignment="1" applyProtection="1">
      <alignment vertical="center"/>
      <protection hidden="1"/>
    </xf>
    <xf numFmtId="1" fontId="0" fillId="4" borderId="0" xfId="0" applyNumberFormat="1" applyFont="1" applyFill="1" applyAlignment="1" applyProtection="1">
      <alignment horizontal="center" vertical="center"/>
      <protection hidden="1"/>
    </xf>
    <xf numFmtId="0" fontId="0" fillId="4" borderId="0" xfId="0" applyFont="1" applyFill="1" applyAlignment="1" applyProtection="1">
      <alignment horizontal="center" vertical="center"/>
      <protection hidden="1"/>
    </xf>
    <xf numFmtId="0" fontId="0" fillId="4" borderId="0" xfId="0" applyFont="1" applyFill="1" applyAlignment="1" applyProtection="1">
      <alignment vertical="center"/>
      <protection hidden="1"/>
    </xf>
    <xf numFmtId="0" fontId="0" fillId="4" borderId="0" xfId="0" applyFont="1" applyFill="1" applyAlignment="1" applyProtection="1">
      <alignment horizontal="left" vertical="center"/>
      <protection hidden="1"/>
    </xf>
    <xf numFmtId="0" fontId="0" fillId="4" borderId="0" xfId="0" applyFont="1" applyFill="1" applyProtection="1">
      <protection hidden="1"/>
    </xf>
    <xf numFmtId="49" fontId="3" fillId="5" borderId="8" xfId="0" applyNumberFormat="1" applyFont="1" applyFill="1" applyBorder="1" applyAlignment="1" applyProtection="1">
      <alignment horizontal="center" vertical="center" wrapText="1"/>
      <protection hidden="1"/>
    </xf>
    <xf numFmtId="1" fontId="0" fillId="4" borderId="0" xfId="0" applyNumberFormat="1" applyFont="1" applyFill="1" applyAlignment="1" applyProtection="1">
      <alignment horizontal="center"/>
      <protection hidden="1"/>
    </xf>
    <xf numFmtId="49" fontId="11" fillId="6" borderId="8" xfId="0" applyNumberFormat="1" applyFont="1" applyFill="1" applyBorder="1" applyAlignment="1" applyProtection="1">
      <alignment horizontal="center" vertical="center" wrapText="1"/>
      <protection hidden="1"/>
    </xf>
    <xf numFmtId="0" fontId="0" fillId="4" borderId="0" xfId="0" applyFont="1" applyFill="1" applyAlignment="1" applyProtection="1">
      <alignment horizontal="center" vertical="center" wrapText="1"/>
      <protection hidden="1"/>
    </xf>
    <xf numFmtId="1" fontId="0" fillId="4" borderId="9" xfId="0" applyNumberFormat="1" applyFont="1" applyFill="1" applyBorder="1" applyAlignment="1" applyProtection="1">
      <alignment horizontal="center" vertical="center" wrapText="1"/>
      <protection hidden="1"/>
    </xf>
    <xf numFmtId="0" fontId="0" fillId="7" borderId="10" xfId="0" applyFont="1" applyFill="1" applyBorder="1" applyAlignment="1" applyProtection="1">
      <alignment horizontal="center" vertical="center" wrapText="1"/>
      <protection hidden="1"/>
    </xf>
    <xf numFmtId="49" fontId="3" fillId="5" borderId="8" xfId="0" applyNumberFormat="1" applyFont="1" applyFill="1" applyBorder="1" applyAlignment="1" applyProtection="1">
      <alignment horizontal="center"/>
      <protection hidden="1"/>
    </xf>
    <xf numFmtId="165" fontId="11" fillId="8" borderId="11" xfId="0" applyNumberFormat="1" applyFont="1" applyFill="1" applyBorder="1" applyAlignment="1" applyProtection="1">
      <alignment horizontal="center" vertical="center"/>
      <protection hidden="1"/>
    </xf>
    <xf numFmtId="165" fontId="11" fillId="9" borderId="12" xfId="0" applyNumberFormat="1" applyFont="1" applyFill="1" applyBorder="1" applyAlignment="1" applyProtection="1">
      <alignment horizontal="center" vertical="center"/>
      <protection hidden="1"/>
    </xf>
    <xf numFmtId="165" fontId="11" fillId="10" borderId="11" xfId="0" applyNumberFormat="1" applyFont="1" applyFill="1" applyBorder="1" applyAlignment="1" applyProtection="1">
      <alignment horizontal="center" vertical="center"/>
      <protection hidden="1"/>
    </xf>
    <xf numFmtId="165" fontId="11" fillId="11" borderId="13" xfId="0" applyNumberFormat="1" applyFont="1" applyFill="1" applyBorder="1" applyAlignment="1" applyProtection="1">
      <alignment horizontal="center" vertical="center"/>
      <protection hidden="1"/>
    </xf>
    <xf numFmtId="165" fontId="11" fillId="12" borderId="14" xfId="0" applyNumberFormat="1" applyFont="1" applyFill="1" applyBorder="1" applyAlignment="1" applyProtection="1">
      <alignment horizontal="center" vertical="center"/>
      <protection hidden="1"/>
    </xf>
    <xf numFmtId="0" fontId="0" fillId="7" borderId="15" xfId="0" applyFont="1" applyFill="1" applyBorder="1" applyAlignment="1" applyProtection="1">
      <alignment horizontal="centerContinuous" vertical="center" wrapText="1"/>
      <protection hidden="1"/>
    </xf>
    <xf numFmtId="0" fontId="0" fillId="7" borderId="15" xfId="0" applyFont="1" applyFill="1" applyBorder="1" applyAlignment="1" applyProtection="1">
      <alignment horizontal="center" vertical="center" wrapText="1"/>
      <protection hidden="1"/>
    </xf>
    <xf numFmtId="0" fontId="0" fillId="7" borderId="16" xfId="0" applyFont="1" applyFill="1" applyBorder="1" applyAlignment="1" applyProtection="1">
      <alignment horizontal="centerContinuous" vertical="center" wrapText="1"/>
      <protection hidden="1"/>
    </xf>
    <xf numFmtId="0" fontId="0" fillId="7" borderId="17" xfId="0" applyFont="1" applyFill="1" applyBorder="1" applyAlignment="1" applyProtection="1">
      <alignment horizontal="center" vertical="center" wrapText="1"/>
      <protection hidden="1"/>
    </xf>
    <xf numFmtId="0" fontId="0" fillId="7" borderId="10" xfId="0" applyFont="1" applyFill="1" applyBorder="1" applyAlignment="1" applyProtection="1">
      <alignment horizontal="centerContinuous" vertical="center" wrapText="1"/>
      <protection hidden="1"/>
    </xf>
    <xf numFmtId="0" fontId="0" fillId="7" borderId="18" xfId="0" applyFont="1" applyFill="1" applyBorder="1" applyAlignment="1" applyProtection="1">
      <alignment horizontal="center" vertical="center" wrapText="1"/>
      <protection hidden="1"/>
    </xf>
    <xf numFmtId="0" fontId="0" fillId="7" borderId="17" xfId="0" applyFont="1" applyFill="1" applyBorder="1" applyAlignment="1" applyProtection="1">
      <alignment horizontal="centerContinuous" vertical="center" wrapText="1"/>
      <protection hidden="1"/>
    </xf>
    <xf numFmtId="0" fontId="0" fillId="7" borderId="16" xfId="0" applyFont="1" applyFill="1" applyBorder="1" applyAlignment="1" applyProtection="1">
      <alignment horizontal="center" vertical="center" wrapText="1"/>
      <protection hidden="1"/>
    </xf>
    <xf numFmtId="0" fontId="0" fillId="4" borderId="0" xfId="0" applyFont="1" applyFill="1" applyProtection="1"/>
    <xf numFmtId="0" fontId="0" fillId="13" borderId="0" xfId="0" applyFont="1" applyFill="1" applyAlignment="1" applyProtection="1">
      <alignment horizontal="center"/>
    </xf>
    <xf numFmtId="0" fontId="0" fillId="4" borderId="0" xfId="0" applyFont="1" applyFill="1" applyAlignment="1" applyProtection="1">
      <alignment horizontal="center"/>
    </xf>
    <xf numFmtId="0" fontId="12" fillId="4" borderId="0" xfId="0" applyFont="1" applyFill="1" applyAlignment="1" applyProtection="1">
      <alignment horizontal="left"/>
    </xf>
    <xf numFmtId="49" fontId="0" fillId="7" borderId="15" xfId="0" applyNumberFormat="1" applyFill="1" applyBorder="1" applyAlignment="1" applyProtection="1">
      <alignment horizontal="center" vertical="center" wrapText="1"/>
      <protection hidden="1"/>
    </xf>
    <xf numFmtId="49" fontId="0" fillId="7" borderId="16" xfId="0" applyNumberFormat="1" applyFill="1" applyBorder="1" applyAlignment="1" applyProtection="1">
      <alignment horizontal="center" vertical="center" wrapText="1"/>
      <protection hidden="1"/>
    </xf>
    <xf numFmtId="49" fontId="0" fillId="7" borderId="17" xfId="0" applyNumberFormat="1" applyFill="1" applyBorder="1" applyAlignment="1" applyProtection="1">
      <alignment horizontal="center" vertical="center" wrapText="1"/>
      <protection hidden="1"/>
    </xf>
    <xf numFmtId="49" fontId="0" fillId="7" borderId="10" xfId="0" applyNumberFormat="1" applyFill="1" applyBorder="1" applyAlignment="1" applyProtection="1">
      <alignment horizontal="center" vertical="center" wrapText="1"/>
      <protection hidden="1"/>
    </xf>
    <xf numFmtId="49" fontId="0" fillId="7" borderId="18" xfId="0" applyNumberFormat="1" applyFill="1" applyBorder="1" applyAlignment="1" applyProtection="1">
      <alignment horizontal="center" vertical="center" wrapText="1"/>
      <protection hidden="1"/>
    </xf>
    <xf numFmtId="0" fontId="0" fillId="13" borderId="17" xfId="0" applyFont="1" applyFill="1" applyBorder="1" applyAlignment="1" applyProtection="1">
      <alignment horizontal="center" vertical="center" wrapText="1"/>
      <protection hidden="1"/>
    </xf>
    <xf numFmtId="0" fontId="0" fillId="13" borderId="16" xfId="0" applyFont="1" applyFill="1" applyBorder="1" applyAlignment="1" applyProtection="1">
      <alignment horizontal="centerContinuous" vertical="center" wrapText="1"/>
      <protection hidden="1"/>
    </xf>
    <xf numFmtId="0" fontId="0" fillId="7" borderId="19" xfId="0" applyFont="1" applyFill="1" applyBorder="1" applyAlignment="1" applyProtection="1">
      <alignment horizontal="center" vertical="center" wrapText="1"/>
      <protection hidden="1"/>
    </xf>
    <xf numFmtId="0" fontId="0" fillId="7" borderId="19" xfId="0" applyFont="1" applyFill="1" applyBorder="1" applyAlignment="1" applyProtection="1">
      <alignment horizontal="centerContinuous" vertical="center" wrapText="1"/>
      <protection hidden="1"/>
    </xf>
    <xf numFmtId="165" fontId="13" fillId="4" borderId="20" xfId="0" applyNumberFormat="1" applyFont="1" applyFill="1" applyBorder="1" applyAlignment="1" applyProtection="1">
      <alignment horizontal="center" vertical="center"/>
      <protection hidden="1"/>
    </xf>
    <xf numFmtId="1" fontId="0" fillId="4" borderId="21" xfId="0" applyNumberFormat="1" applyFont="1" applyFill="1" applyBorder="1" applyAlignment="1" applyProtection="1">
      <alignment horizontal="center" vertical="center" wrapText="1"/>
      <protection hidden="1"/>
    </xf>
    <xf numFmtId="165" fontId="13" fillId="4" borderId="22" xfId="0" applyNumberFormat="1" applyFont="1" applyFill="1" applyBorder="1" applyAlignment="1" applyProtection="1">
      <alignment horizontal="center" vertical="center"/>
      <protection hidden="1"/>
    </xf>
    <xf numFmtId="165" fontId="13" fillId="4" borderId="23" xfId="0" applyNumberFormat="1" applyFont="1" applyFill="1" applyBorder="1" applyAlignment="1" applyProtection="1">
      <alignment horizontal="center" vertical="center"/>
      <protection hidden="1"/>
    </xf>
    <xf numFmtId="165" fontId="13" fillId="4" borderId="24" xfId="0" applyNumberFormat="1" applyFont="1" applyFill="1" applyBorder="1" applyAlignment="1" applyProtection="1">
      <alignment horizontal="center" vertical="center"/>
      <protection hidden="1"/>
    </xf>
    <xf numFmtId="165" fontId="13" fillId="4" borderId="25" xfId="0" applyNumberFormat="1" applyFont="1" applyFill="1" applyBorder="1" applyAlignment="1" applyProtection="1">
      <alignment horizontal="center" vertical="center"/>
      <protection hidden="1"/>
    </xf>
    <xf numFmtId="165" fontId="13" fillId="4" borderId="26" xfId="0" applyNumberFormat="1" applyFont="1" applyFill="1" applyBorder="1" applyAlignment="1" applyProtection="1">
      <alignment horizontal="center" vertical="center"/>
      <protection hidden="1"/>
    </xf>
    <xf numFmtId="9" fontId="14" fillId="14" borderId="27" xfId="0" applyNumberFormat="1" applyFont="1" applyFill="1" applyBorder="1" applyAlignment="1" applyProtection="1">
      <alignment horizontal="center" vertical="center"/>
      <protection locked="0"/>
    </xf>
    <xf numFmtId="3" fontId="15" fillId="14" borderId="28" xfId="0" applyNumberFormat="1" applyFont="1" applyFill="1" applyBorder="1" applyAlignment="1" applyProtection="1">
      <alignment horizontal="center" vertical="center"/>
      <protection locked="0"/>
    </xf>
    <xf numFmtId="49" fontId="0" fillId="7" borderId="19" xfId="0" applyNumberFormat="1" applyFill="1" applyBorder="1" applyAlignment="1" applyProtection="1">
      <alignment horizontal="center" vertical="center" wrapText="1"/>
      <protection hidden="1"/>
    </xf>
    <xf numFmtId="0" fontId="4" fillId="15" borderId="47" xfId="0" applyFont="1" applyFill="1" applyBorder="1" applyAlignment="1" applyProtection="1">
      <alignment horizontal="center" wrapText="1"/>
    </xf>
    <xf numFmtId="0" fontId="4" fillId="16" borderId="47" xfId="0" applyFont="1" applyFill="1" applyBorder="1" applyAlignment="1" applyProtection="1">
      <alignment horizontal="center" wrapText="1"/>
    </xf>
    <xf numFmtId="0" fontId="4" fillId="17" borderId="48" xfId="0" applyFont="1" applyFill="1" applyBorder="1" applyAlignment="1" applyProtection="1">
      <alignment horizontal="center" wrapText="1"/>
    </xf>
    <xf numFmtId="0" fontId="4" fillId="18" borderId="49" xfId="0" applyFont="1" applyFill="1" applyBorder="1" applyAlignment="1" applyProtection="1">
      <alignment horizontal="center" wrapText="1"/>
    </xf>
    <xf numFmtId="0" fontId="4" fillId="19" borderId="48" xfId="0" applyFont="1" applyFill="1" applyBorder="1" applyAlignment="1" applyProtection="1">
      <alignment horizontal="center" wrapText="1"/>
    </xf>
    <xf numFmtId="0" fontId="0" fillId="4" borderId="0" xfId="0" applyFill="1" applyProtection="1"/>
    <xf numFmtId="0" fontId="16" fillId="3" borderId="0" xfId="0" applyFont="1" applyFill="1" applyBorder="1" applyAlignment="1" applyProtection="1">
      <alignment vertical="center"/>
    </xf>
    <xf numFmtId="49" fontId="11" fillId="3" borderId="0" xfId="0" applyNumberFormat="1" applyFont="1" applyFill="1" applyAlignment="1" applyProtection="1">
      <alignment horizontal="centerContinuous" vertical="center"/>
      <protection hidden="1"/>
    </xf>
    <xf numFmtId="1" fontId="11" fillId="3" borderId="0" xfId="0" applyNumberFormat="1" applyFont="1" applyFill="1" applyAlignment="1" applyProtection="1">
      <alignment horizontal="center" vertical="center"/>
      <protection hidden="1"/>
    </xf>
    <xf numFmtId="0" fontId="11" fillId="3" borderId="0" xfId="0" applyFont="1" applyFill="1" applyAlignment="1" applyProtection="1">
      <alignment horizontal="centerContinuous" vertical="center"/>
      <protection hidden="1"/>
    </xf>
    <xf numFmtId="0" fontId="11" fillId="3" borderId="0" xfId="0" applyFont="1" applyFill="1" applyAlignment="1" applyProtection="1">
      <alignment horizontal="left" vertical="center"/>
      <protection hidden="1"/>
    </xf>
    <xf numFmtId="0" fontId="0" fillId="3" borderId="0" xfId="0" applyFont="1" applyFill="1" applyProtection="1"/>
    <xf numFmtId="0" fontId="0" fillId="3" borderId="0" xfId="0" applyFill="1" applyProtection="1"/>
    <xf numFmtId="10" fontId="4" fillId="3" borderId="8" xfId="0" applyNumberFormat="1" applyFont="1" applyFill="1" applyBorder="1" applyAlignment="1" applyProtection="1"/>
    <xf numFmtId="10" fontId="4" fillId="8" borderId="8" xfId="0" applyNumberFormat="1" applyFont="1" applyFill="1" applyBorder="1" applyAlignment="1" applyProtection="1">
      <alignment horizontal="center" vertical="center"/>
      <protection hidden="1"/>
    </xf>
    <xf numFmtId="10" fontId="4" fillId="9" borderId="8" xfId="0" applyNumberFormat="1" applyFont="1" applyFill="1" applyBorder="1" applyAlignment="1" applyProtection="1">
      <alignment horizontal="center" vertical="center"/>
      <protection hidden="1"/>
    </xf>
    <xf numFmtId="10" fontId="4" fillId="10" borderId="8" xfId="0" applyNumberFormat="1" applyFont="1" applyFill="1" applyBorder="1" applyAlignment="1" applyProtection="1">
      <alignment horizontal="center" vertical="center"/>
      <protection hidden="1"/>
    </xf>
    <xf numFmtId="10" fontId="4" fillId="11" borderId="8" xfId="0" applyNumberFormat="1" applyFont="1" applyFill="1" applyBorder="1" applyAlignment="1" applyProtection="1">
      <alignment horizontal="center" vertical="center"/>
      <protection hidden="1"/>
    </xf>
    <xf numFmtId="10" fontId="4" fillId="12" borderId="8" xfId="0" applyNumberFormat="1" applyFont="1" applyFill="1" applyBorder="1" applyAlignment="1" applyProtection="1">
      <alignment horizontal="center" vertical="center"/>
      <protection hidden="1"/>
    </xf>
    <xf numFmtId="10" fontId="0" fillId="4" borderId="0" xfId="0" applyNumberFormat="1" applyFont="1" applyFill="1" applyProtection="1"/>
    <xf numFmtId="0" fontId="0" fillId="4" borderId="29" xfId="0" applyFont="1" applyFill="1" applyBorder="1" applyProtection="1"/>
    <xf numFmtId="10" fontId="0" fillId="4" borderId="24" xfId="0" applyNumberFormat="1" applyFont="1" applyFill="1" applyBorder="1" applyProtection="1"/>
    <xf numFmtId="10" fontId="0" fillId="4" borderId="26" xfId="0" applyNumberFormat="1" applyFont="1" applyFill="1" applyBorder="1" applyProtection="1"/>
    <xf numFmtId="10" fontId="0" fillId="4" borderId="23" xfId="0" applyNumberFormat="1" applyFont="1" applyFill="1" applyBorder="1" applyProtection="1"/>
    <xf numFmtId="0" fontId="0" fillId="4" borderId="30" xfId="0" applyFont="1" applyFill="1" applyBorder="1" applyProtection="1"/>
    <xf numFmtId="0" fontId="0" fillId="4" borderId="29" xfId="0" applyFill="1" applyBorder="1" applyProtection="1"/>
    <xf numFmtId="0" fontId="0" fillId="4" borderId="31" xfId="0" applyFont="1" applyFill="1" applyBorder="1" applyProtection="1"/>
    <xf numFmtId="10" fontId="4" fillId="14" borderId="8" xfId="0" applyNumberFormat="1" applyFont="1" applyFill="1" applyBorder="1" applyAlignment="1" applyProtection="1">
      <protection locked="0"/>
    </xf>
    <xf numFmtId="0" fontId="17" fillId="3" borderId="0" xfId="0" applyFont="1" applyFill="1" applyBorder="1" applyProtection="1"/>
    <xf numFmtId="10" fontId="17" fillId="3" borderId="0" xfId="0" applyNumberFormat="1" applyFont="1" applyFill="1" applyBorder="1" applyProtection="1"/>
    <xf numFmtId="0" fontId="0" fillId="2" borderId="0" xfId="0" applyFont="1" applyFill="1" applyProtection="1"/>
    <xf numFmtId="0" fontId="0" fillId="3" borderId="0" xfId="0" applyFont="1" applyFill="1" applyBorder="1" applyProtection="1"/>
    <xf numFmtId="0" fontId="0" fillId="2" borderId="0" xfId="0" applyFont="1" applyFill="1" applyBorder="1" applyProtection="1"/>
    <xf numFmtId="166" fontId="0" fillId="0" borderId="50" xfId="0" applyNumberFormat="1" applyBorder="1" applyAlignment="1"/>
    <xf numFmtId="0" fontId="0" fillId="0" borderId="50" xfId="0" applyBorder="1" applyAlignment="1"/>
    <xf numFmtId="0" fontId="0" fillId="0" borderId="51" xfId="0" applyBorder="1" applyAlignment="1"/>
    <xf numFmtId="0" fontId="0" fillId="0" borderId="0" xfId="0" applyAlignment="1"/>
    <xf numFmtId="0" fontId="14" fillId="0" borderId="0" xfId="0" applyFont="1"/>
    <xf numFmtId="0" fontId="0" fillId="14" borderId="0" xfId="0" applyFill="1"/>
    <xf numFmtId="0" fontId="18" fillId="0" borderId="0" xfId="0" applyFont="1" applyAlignment="1">
      <alignment horizontal="left" vertical="top" wrapText="1"/>
    </xf>
    <xf numFmtId="0" fontId="19" fillId="20" borderId="0" xfId="0" applyFont="1" applyFill="1" applyAlignment="1">
      <alignment horizontal="center" vertical="center"/>
    </xf>
    <xf numFmtId="169" fontId="0" fillId="7" borderId="15" xfId="0" applyNumberFormat="1" applyFont="1" applyFill="1" applyBorder="1" applyAlignment="1" applyProtection="1">
      <alignment horizontal="center" vertical="center" wrapText="1"/>
      <protection hidden="1"/>
    </xf>
    <xf numFmtId="169" fontId="0" fillId="7" borderId="15" xfId="0" applyNumberFormat="1" applyFont="1" applyFill="1" applyBorder="1" applyAlignment="1" applyProtection="1">
      <alignment horizontal="centerContinuous" vertical="center" wrapText="1"/>
      <protection hidden="1"/>
    </xf>
    <xf numFmtId="169" fontId="0" fillId="7" borderId="15" xfId="0" applyNumberFormat="1" applyFill="1" applyBorder="1" applyAlignment="1" applyProtection="1">
      <alignment horizontal="center" vertical="center" wrapText="1"/>
      <protection hidden="1"/>
    </xf>
    <xf numFmtId="169" fontId="0" fillId="7" borderId="17" xfId="0" applyNumberFormat="1" applyFont="1" applyFill="1" applyBorder="1" applyAlignment="1" applyProtection="1">
      <alignment horizontal="center" vertical="center" wrapText="1"/>
      <protection hidden="1"/>
    </xf>
    <xf numFmtId="169" fontId="0" fillId="13" borderId="17" xfId="0" applyNumberFormat="1" applyFont="1" applyFill="1" applyBorder="1" applyAlignment="1" applyProtection="1">
      <alignment horizontal="center" vertical="center" wrapText="1"/>
      <protection hidden="1"/>
    </xf>
    <xf numFmtId="169" fontId="0" fillId="7" borderId="18" xfId="0" applyNumberFormat="1" applyFont="1" applyFill="1" applyBorder="1" applyAlignment="1" applyProtection="1">
      <alignment horizontal="center" vertical="center" wrapText="1"/>
      <protection hidden="1"/>
    </xf>
    <xf numFmtId="169" fontId="0" fillId="7" borderId="16" xfId="0" applyNumberFormat="1" applyFont="1" applyFill="1" applyBorder="1" applyAlignment="1" applyProtection="1">
      <alignment horizontal="centerContinuous" vertical="center" wrapText="1"/>
      <protection hidden="1"/>
    </xf>
    <xf numFmtId="169" fontId="0" fillId="7" borderId="10" xfId="0" applyNumberFormat="1" applyFont="1" applyFill="1" applyBorder="1" applyAlignment="1" applyProtection="1">
      <alignment horizontal="center" vertical="center" wrapText="1"/>
      <protection hidden="1"/>
    </xf>
    <xf numFmtId="169" fontId="0" fillId="7" borderId="32" xfId="0" applyNumberFormat="1" applyFont="1" applyFill="1" applyBorder="1" applyAlignment="1" applyProtection="1">
      <alignment horizontal="centerContinuous" vertical="center" wrapText="1"/>
      <protection hidden="1"/>
    </xf>
    <xf numFmtId="10" fontId="0" fillId="0" borderId="0" xfId="0" applyNumberFormat="1"/>
    <xf numFmtId="10" fontId="2" fillId="0" borderId="0" xfId="0" applyNumberFormat="1" applyFont="1" applyBorder="1" applyAlignment="1">
      <alignment horizontal="center" vertical="center"/>
    </xf>
    <xf numFmtId="0" fontId="2" fillId="0" borderId="0" xfId="0" applyFont="1" applyBorder="1" applyAlignment="1">
      <alignment horizontal="left" vertical="center"/>
    </xf>
    <xf numFmtId="10" fontId="0" fillId="4" borderId="8" xfId="0" applyNumberFormat="1" applyFont="1" applyFill="1" applyBorder="1" applyAlignment="1" applyProtection="1">
      <alignment horizontal="center"/>
    </xf>
    <xf numFmtId="0" fontId="3" fillId="21" borderId="8" xfId="0" applyFont="1" applyFill="1" applyBorder="1" applyAlignment="1" applyProtection="1">
      <alignment horizontal="center"/>
    </xf>
    <xf numFmtId="0" fontId="4" fillId="13" borderId="8" xfId="0" applyFont="1" applyFill="1" applyBorder="1" applyAlignment="1" applyProtection="1">
      <alignment horizontal="center"/>
    </xf>
    <xf numFmtId="10" fontId="4" fillId="13" borderId="8" xfId="0" applyNumberFormat="1" applyFont="1" applyFill="1" applyBorder="1" applyAlignment="1" applyProtection="1">
      <alignment horizontal="center"/>
    </xf>
    <xf numFmtId="10" fontId="0" fillId="9" borderId="8" xfId="0" applyNumberFormat="1" applyFill="1" applyBorder="1" applyAlignment="1" applyProtection="1">
      <alignment horizontal="center"/>
    </xf>
    <xf numFmtId="0" fontId="4" fillId="0" borderId="0" xfId="0" applyFont="1" applyAlignment="1"/>
    <xf numFmtId="0" fontId="2" fillId="14" borderId="0" xfId="0" applyFont="1" applyFill="1" applyBorder="1"/>
    <xf numFmtId="0" fontId="0" fillId="7" borderId="15" xfId="0" applyFill="1" applyBorder="1" applyAlignment="1" applyProtection="1">
      <alignment horizontal="center" vertical="center" wrapText="1"/>
      <protection hidden="1"/>
    </xf>
    <xf numFmtId="0" fontId="0" fillId="13" borderId="17" xfId="0" applyFill="1" applyBorder="1" applyAlignment="1" applyProtection="1">
      <alignment horizontal="center" vertical="center" wrapText="1"/>
      <protection hidden="1"/>
    </xf>
    <xf numFmtId="1" fontId="0" fillId="4" borderId="8" xfId="0" applyNumberFormat="1" applyFont="1" applyFill="1" applyBorder="1" applyAlignment="1" applyProtection="1">
      <alignment horizontal="center" vertical="center" wrapText="1"/>
      <protection hidden="1"/>
    </xf>
    <xf numFmtId="1" fontId="0" fillId="4" borderId="8" xfId="0" applyNumberFormat="1" applyFont="1" applyFill="1" applyBorder="1" applyAlignment="1" applyProtection="1">
      <alignment horizontal="center" vertical="center"/>
      <protection hidden="1"/>
    </xf>
    <xf numFmtId="2" fontId="20" fillId="0" borderId="0" xfId="0" applyNumberFormat="1" applyFont="1" applyAlignment="1"/>
    <xf numFmtId="0" fontId="0" fillId="0" borderId="33" xfId="0" applyBorder="1"/>
    <xf numFmtId="0" fontId="0" fillId="0" borderId="19" xfId="0" applyBorder="1"/>
    <xf numFmtId="0" fontId="0" fillId="0" borderId="32" xfId="0" applyBorder="1"/>
    <xf numFmtId="0" fontId="4" fillId="0" borderId="0" xfId="0" applyFont="1"/>
    <xf numFmtId="0" fontId="4" fillId="0" borderId="34" xfId="0" applyFont="1" applyBorder="1"/>
    <xf numFmtId="0" fontId="14" fillId="0" borderId="0" xfId="0" applyFont="1" applyAlignment="1">
      <alignment vertical="top" wrapText="1"/>
    </xf>
    <xf numFmtId="0" fontId="14" fillId="0" borderId="0" xfId="0" applyFont="1" applyAlignment="1">
      <alignment horizontal="left" vertical="top" wrapText="1"/>
    </xf>
    <xf numFmtId="0" fontId="4" fillId="13" borderId="0" xfId="0" applyFont="1" applyFill="1" applyAlignment="1" applyProtection="1"/>
    <xf numFmtId="3" fontId="4" fillId="22" borderId="0" xfId="0" applyNumberFormat="1" applyFont="1" applyFill="1" applyAlignment="1" applyProtection="1"/>
    <xf numFmtId="164" fontId="4" fillId="22" borderId="0" xfId="0" applyNumberFormat="1" applyFont="1" applyFill="1" applyAlignment="1" applyProtection="1"/>
    <xf numFmtId="9" fontId="4" fillId="22" borderId="0" xfId="0" applyNumberFormat="1" applyFont="1" applyFill="1" applyAlignment="1" applyProtection="1"/>
    <xf numFmtId="0" fontId="10" fillId="2" borderId="6" xfId="0" applyFont="1" applyFill="1" applyBorder="1" applyAlignment="1" applyProtection="1">
      <alignment horizontal="center"/>
    </xf>
    <xf numFmtId="0" fontId="10" fillId="2" borderId="27" xfId="0" applyFont="1" applyFill="1" applyBorder="1" applyAlignment="1" applyProtection="1">
      <alignment horizontal="center"/>
    </xf>
    <xf numFmtId="0" fontId="10" fillId="2" borderId="28" xfId="0" applyFont="1" applyFill="1" applyBorder="1" applyAlignment="1" applyProtection="1">
      <alignment horizontal="center"/>
    </xf>
    <xf numFmtId="0" fontId="21" fillId="2" borderId="0" xfId="0" applyFont="1" applyFill="1" applyBorder="1" applyAlignment="1" applyProtection="1">
      <alignment horizontal="left"/>
    </xf>
    <xf numFmtId="0" fontId="21" fillId="4" borderId="0" xfId="0" applyFont="1" applyFill="1" applyAlignment="1" applyProtection="1">
      <alignment horizontal="left"/>
    </xf>
    <xf numFmtId="0" fontId="22" fillId="13" borderId="35" xfId="0" applyFont="1" applyFill="1" applyBorder="1" applyAlignment="1" applyProtection="1">
      <alignment horizontal="left"/>
    </xf>
    <xf numFmtId="0" fontId="21" fillId="4" borderId="34" xfId="0" applyFont="1" applyFill="1" applyBorder="1" applyAlignment="1" applyProtection="1">
      <alignment horizontal="left"/>
    </xf>
    <xf numFmtId="0" fontId="21" fillId="13" borderId="0" xfId="0" applyFont="1" applyFill="1" applyAlignment="1" applyProtection="1">
      <alignment horizontal="center"/>
    </xf>
    <xf numFmtId="0" fontId="21" fillId="7" borderId="34" xfId="0" applyFont="1" applyFill="1" applyBorder="1" applyAlignment="1" applyProtection="1">
      <alignment horizontal="center"/>
    </xf>
    <xf numFmtId="0" fontId="21" fillId="7" borderId="0" xfId="0" applyFont="1" applyFill="1" applyAlignment="1" applyProtection="1">
      <alignment horizontal="center"/>
    </xf>
    <xf numFmtId="0" fontId="21" fillId="4" borderId="0" xfId="0" applyFont="1" applyFill="1" applyAlignment="1" applyProtection="1">
      <alignment horizontal="center"/>
    </xf>
    <xf numFmtId="0" fontId="0" fillId="6" borderId="17" xfId="0" applyFont="1" applyFill="1" applyBorder="1" applyAlignment="1" applyProtection="1">
      <alignment horizontal="center" vertical="center" wrapText="1"/>
      <protection hidden="1"/>
    </xf>
    <xf numFmtId="0" fontId="0" fillId="6" borderId="16" xfId="0" applyFont="1" applyFill="1" applyBorder="1" applyAlignment="1" applyProtection="1">
      <alignment horizontal="centerContinuous" vertical="center" wrapText="1"/>
      <protection hidden="1"/>
    </xf>
    <xf numFmtId="170" fontId="14" fillId="14" borderId="6" xfId="0" applyNumberFormat="1" applyFont="1" applyFill="1" applyBorder="1" applyAlignment="1" applyProtection="1">
      <alignment horizontal="center" vertical="center"/>
      <protection locked="0"/>
    </xf>
    <xf numFmtId="0" fontId="4" fillId="22" borderId="0" xfId="0" applyFont="1" applyFill="1" applyAlignment="1" applyProtection="1">
      <alignment horizontal="right"/>
    </xf>
    <xf numFmtId="165" fontId="0" fillId="4" borderId="0" xfId="0" applyNumberFormat="1" applyFont="1" applyFill="1" applyProtection="1"/>
    <xf numFmtId="165" fontId="0" fillId="4" borderId="0" xfId="0" applyNumberFormat="1" applyFill="1" applyProtection="1"/>
    <xf numFmtId="9" fontId="0" fillId="4" borderId="0" xfId="0" applyNumberFormat="1" applyFont="1" applyFill="1" applyProtection="1"/>
    <xf numFmtId="171" fontId="0" fillId="4" borderId="0" xfId="0" applyNumberFormat="1" applyFill="1" applyProtection="1"/>
    <xf numFmtId="172" fontId="0" fillId="4" borderId="0" xfId="0" applyNumberFormat="1" applyFill="1" applyProtection="1"/>
    <xf numFmtId="0" fontId="0" fillId="2" borderId="27" xfId="0" applyFill="1" applyBorder="1" applyProtection="1"/>
    <xf numFmtId="0" fontId="12" fillId="14" borderId="0" xfId="0" applyFont="1" applyFill="1" applyBorder="1" applyAlignment="1" applyProtection="1">
      <alignment horizontal="center" vertical="center"/>
      <protection locked="0"/>
    </xf>
    <xf numFmtId="173" fontId="4" fillId="22" borderId="0" xfId="0" applyNumberFormat="1" applyFont="1" applyFill="1" applyAlignment="1" applyProtection="1"/>
    <xf numFmtId="10" fontId="14" fillId="0" borderId="36" xfId="0" applyNumberFormat="1" applyFont="1" applyBorder="1" applyAlignment="1">
      <alignment horizontal="right" vertical="center"/>
    </xf>
    <xf numFmtId="10" fontId="14" fillId="0" borderId="37" xfId="0" applyNumberFormat="1" applyFont="1" applyBorder="1" applyAlignment="1">
      <alignment horizontal="right" vertical="center"/>
    </xf>
    <xf numFmtId="10" fontId="14" fillId="0" borderId="38" xfId="0" applyNumberFormat="1" applyFont="1" applyBorder="1" applyAlignment="1">
      <alignment horizontal="right" vertical="center"/>
    </xf>
    <xf numFmtId="0" fontId="0" fillId="0" borderId="0" xfId="0" applyAlignment="1">
      <alignment horizontal="center"/>
    </xf>
    <xf numFmtId="0" fontId="23" fillId="3" borderId="0" xfId="0" applyFont="1" applyFill="1" applyBorder="1" applyAlignment="1" applyProtection="1">
      <alignment vertical="center"/>
    </xf>
    <xf numFmtId="0" fontId="2" fillId="0" borderId="0" xfId="0" applyFont="1"/>
    <xf numFmtId="0" fontId="4" fillId="23" borderId="0" xfId="0" applyFont="1" applyFill="1" applyAlignment="1" applyProtection="1">
      <alignment horizontal="center"/>
    </xf>
    <xf numFmtId="0" fontId="0" fillId="23" borderId="0" xfId="0" applyFont="1" applyFill="1" applyProtection="1"/>
    <xf numFmtId="10" fontId="4" fillId="23" borderId="0" xfId="0" applyNumberFormat="1" applyFont="1" applyFill="1" applyAlignment="1" applyProtection="1">
      <alignment horizontal="center"/>
    </xf>
    <xf numFmtId="10" fontId="0" fillId="23" borderId="0" xfId="0" applyNumberFormat="1" applyFont="1" applyFill="1" applyProtection="1"/>
    <xf numFmtId="175" fontId="0" fillId="4" borderId="0" xfId="0" applyNumberFormat="1" applyFill="1" applyProtection="1"/>
    <xf numFmtId="10" fontId="0" fillId="23" borderId="0" xfId="0" applyNumberFormat="1" applyFill="1" applyProtection="1"/>
    <xf numFmtId="10" fontId="0" fillId="4" borderId="0" xfId="0" applyNumberFormat="1" applyFont="1" applyFill="1" applyAlignment="1" applyProtection="1">
      <alignment horizontal="right"/>
    </xf>
    <xf numFmtId="0" fontId="0" fillId="4" borderId="0" xfId="0" applyFont="1" applyFill="1" applyAlignment="1" applyProtection="1">
      <alignment horizontal="right"/>
    </xf>
    <xf numFmtId="10" fontId="0" fillId="4" borderId="0" xfId="0" applyNumberFormat="1" applyFont="1" applyFill="1" applyAlignment="1" applyProtection="1">
      <alignment horizontal="right"/>
      <protection hidden="1"/>
    </xf>
    <xf numFmtId="0" fontId="0" fillId="0" borderId="0" xfId="0" applyFont="1" applyAlignment="1"/>
    <xf numFmtId="0" fontId="0" fillId="0" borderId="0" xfId="0" applyFont="1"/>
    <xf numFmtId="0" fontId="0" fillId="14" borderId="0" xfId="0" applyFont="1" applyFill="1" applyBorder="1"/>
    <xf numFmtId="10" fontId="2" fillId="0" borderId="0" xfId="0" applyNumberFormat="1" applyFont="1" applyAlignment="1">
      <alignment horizontal="center" vertical="center"/>
    </xf>
    <xf numFmtId="0" fontId="2" fillId="0" borderId="0" xfId="0" applyFont="1" applyAlignment="1">
      <alignment horizontal="center" vertical="center"/>
    </xf>
    <xf numFmtId="10" fontId="2" fillId="0" borderId="0" xfId="0" applyNumberFormat="1" applyFont="1"/>
    <xf numFmtId="0" fontId="12" fillId="4" borderId="34" xfId="0" applyFont="1" applyFill="1" applyBorder="1" applyAlignment="1" applyProtection="1">
      <alignment horizontal="left"/>
    </xf>
    <xf numFmtId="0" fontId="28" fillId="7" borderId="3" xfId="0" applyFont="1" applyFill="1" applyBorder="1" applyAlignment="1" applyProtection="1">
      <alignment horizontal="center" vertical="center"/>
    </xf>
    <xf numFmtId="0" fontId="28" fillId="7" borderId="0" xfId="0" applyFont="1" applyFill="1" applyBorder="1" applyAlignment="1" applyProtection="1">
      <alignment horizontal="center" vertical="center"/>
    </xf>
    <xf numFmtId="0" fontId="28" fillId="7" borderId="1" xfId="0" applyFont="1" applyFill="1" applyBorder="1" applyAlignment="1" applyProtection="1">
      <alignment horizontal="center" vertical="center"/>
    </xf>
    <xf numFmtId="0" fontId="28" fillId="7" borderId="4" xfId="0" applyFont="1" applyFill="1" applyBorder="1" applyAlignment="1" applyProtection="1">
      <alignment horizontal="center" vertical="center"/>
    </xf>
    <xf numFmtId="0" fontId="27" fillId="13" borderId="35" xfId="0" applyFont="1" applyFill="1" applyBorder="1" applyAlignment="1" applyProtection="1">
      <alignment horizontal="left"/>
    </xf>
    <xf numFmtId="0" fontId="12" fillId="4" borderId="34" xfId="0" applyFont="1" applyFill="1" applyBorder="1" applyAlignment="1" applyProtection="1"/>
    <xf numFmtId="0" fontId="28" fillId="7" borderId="35" xfId="0" applyFont="1" applyFill="1" applyBorder="1" applyAlignment="1" applyProtection="1">
      <alignment horizontal="center" vertical="center"/>
    </xf>
    <xf numFmtId="0" fontId="28" fillId="13" borderId="0" xfId="0" applyFont="1" applyFill="1" applyBorder="1" applyAlignment="1" applyProtection="1">
      <alignment horizontal="center" vertical="center"/>
    </xf>
    <xf numFmtId="0" fontId="28" fillId="13" borderId="2" xfId="0" applyFont="1" applyFill="1" applyBorder="1" applyAlignment="1" applyProtection="1">
      <alignment horizontal="center" vertical="center"/>
    </xf>
    <xf numFmtId="0" fontId="28" fillId="13" borderId="5" xfId="0" applyFont="1" applyFill="1" applyBorder="1" applyAlignment="1" applyProtection="1">
      <alignment horizontal="center" vertical="center"/>
    </xf>
    <xf numFmtId="0" fontId="28" fillId="13" borderId="7" xfId="0" applyFont="1" applyFill="1" applyBorder="1" applyAlignment="1" applyProtection="1">
      <alignment horizontal="center" vertical="center"/>
    </xf>
    <xf numFmtId="0" fontId="3" fillId="5" borderId="12" xfId="0" applyFont="1" applyFill="1" applyBorder="1" applyAlignment="1" applyProtection="1">
      <alignment horizontal="center"/>
    </xf>
    <xf numFmtId="0" fontId="3" fillId="5" borderId="42" xfId="0" applyFont="1" applyFill="1" applyBorder="1" applyAlignment="1" applyProtection="1">
      <alignment horizontal="center"/>
    </xf>
    <xf numFmtId="0" fontId="3" fillId="5" borderId="43" xfId="0" applyFont="1" applyFill="1" applyBorder="1" applyAlignment="1" applyProtection="1">
      <alignment horizontal="center"/>
    </xf>
    <xf numFmtId="0" fontId="12" fillId="4" borderId="34" xfId="0" applyFont="1" applyFill="1" applyBorder="1" applyAlignment="1" applyProtection="1">
      <alignment horizontal="left" wrapText="1"/>
    </xf>
    <xf numFmtId="49" fontId="31" fillId="8" borderId="0" xfId="0" applyNumberFormat="1" applyFont="1" applyFill="1" applyAlignment="1" applyProtection="1">
      <alignment horizontal="left" vertical="center"/>
      <protection hidden="1"/>
    </xf>
    <xf numFmtId="0" fontId="16" fillId="3" borderId="0" xfId="0" applyFont="1" applyFill="1" applyBorder="1" applyAlignment="1" applyProtection="1">
      <alignment horizontal="center" vertical="center"/>
    </xf>
    <xf numFmtId="0" fontId="29" fillId="3" borderId="0" xfId="0" applyFont="1" applyFill="1" applyBorder="1" applyAlignment="1" applyProtection="1">
      <alignment horizontal="center" vertical="center"/>
    </xf>
    <xf numFmtId="0" fontId="30" fillId="3" borderId="0" xfId="0" applyFont="1" applyFill="1" applyBorder="1" applyAlignment="1" applyProtection="1">
      <alignment horizontal="center" vertical="center"/>
    </xf>
    <xf numFmtId="0" fontId="12" fillId="4" borderId="3" xfId="0" applyFont="1" applyFill="1" applyBorder="1" applyAlignment="1" applyProtection="1">
      <alignment horizontal="left"/>
    </xf>
    <xf numFmtId="0" fontId="23" fillId="3" borderId="0" xfId="0" applyFont="1" applyFill="1" applyBorder="1" applyAlignment="1" applyProtection="1">
      <alignment horizontal="right" vertical="center"/>
    </xf>
    <xf numFmtId="0" fontId="3" fillId="21" borderId="0" xfId="0" applyFont="1" applyFill="1" applyAlignment="1" applyProtection="1">
      <alignment horizontal="center"/>
    </xf>
    <xf numFmtId="0" fontId="24" fillId="3" borderId="0" xfId="0" applyFont="1" applyFill="1" applyAlignment="1" applyProtection="1">
      <alignment horizontal="center"/>
    </xf>
    <xf numFmtId="0" fontId="25" fillId="3" borderId="0" xfId="0" applyFont="1" applyFill="1" applyBorder="1" applyAlignment="1" applyProtection="1">
      <alignment horizontal="center" vertical="top"/>
    </xf>
    <xf numFmtId="0" fontId="26" fillId="4" borderId="21" xfId="0" applyFont="1" applyFill="1" applyBorder="1" applyAlignment="1" applyProtection="1">
      <alignment horizontal="center" vertical="center"/>
    </xf>
    <xf numFmtId="0" fontId="26" fillId="4" borderId="39" xfId="0" applyFont="1" applyFill="1" applyBorder="1" applyAlignment="1" applyProtection="1">
      <alignment horizontal="center" vertical="center"/>
    </xf>
    <xf numFmtId="0" fontId="26" fillId="4" borderId="1" xfId="0" applyFont="1" applyFill="1" applyBorder="1" applyAlignment="1" applyProtection="1">
      <alignment horizontal="center" vertical="center"/>
    </xf>
    <xf numFmtId="0" fontId="26" fillId="4" borderId="2" xfId="0" applyFont="1" applyFill="1" applyBorder="1" applyAlignment="1" applyProtection="1">
      <alignment horizontal="center" vertical="center"/>
    </xf>
    <xf numFmtId="0" fontId="26" fillId="4" borderId="4" xfId="0" applyFont="1" applyFill="1" applyBorder="1" applyAlignment="1" applyProtection="1">
      <alignment horizontal="center" vertical="center"/>
    </xf>
    <xf numFmtId="0" fontId="26" fillId="4" borderId="7" xfId="0" applyFont="1" applyFill="1" applyBorder="1" applyAlignment="1" applyProtection="1">
      <alignment horizontal="center" vertical="center"/>
    </xf>
    <xf numFmtId="0" fontId="26" fillId="4" borderId="21" xfId="0" applyFont="1" applyFill="1" applyBorder="1" applyAlignment="1" applyProtection="1">
      <alignment horizontal="center" vertical="center"/>
      <protection hidden="1"/>
    </xf>
    <xf numFmtId="0" fontId="26" fillId="4" borderId="40" xfId="0" applyFont="1" applyFill="1" applyBorder="1" applyAlignment="1" applyProtection="1">
      <alignment horizontal="center" vertical="center"/>
      <protection hidden="1"/>
    </xf>
    <xf numFmtId="0" fontId="26" fillId="4" borderId="1" xfId="0" applyFont="1" applyFill="1" applyBorder="1" applyAlignment="1" applyProtection="1">
      <alignment horizontal="center" vertical="center"/>
      <protection hidden="1"/>
    </xf>
    <xf numFmtId="0" fontId="26" fillId="4" borderId="27" xfId="0" applyFont="1" applyFill="1" applyBorder="1" applyAlignment="1" applyProtection="1">
      <alignment horizontal="center" vertical="center"/>
      <protection hidden="1"/>
    </xf>
    <xf numFmtId="0" fontId="26" fillId="4" borderId="4" xfId="0" applyFont="1" applyFill="1" applyBorder="1" applyAlignment="1" applyProtection="1">
      <alignment horizontal="center" vertical="center"/>
      <protection hidden="1"/>
    </xf>
    <xf numFmtId="0" fontId="26" fillId="4" borderId="41" xfId="0" applyFont="1" applyFill="1" applyBorder="1" applyAlignment="1" applyProtection="1">
      <alignment horizontal="center" vertical="center"/>
      <protection hidden="1"/>
    </xf>
    <xf numFmtId="0" fontId="28" fillId="13" borderId="0" xfId="0" applyFont="1" applyFill="1" applyAlignment="1" applyProtection="1">
      <alignment horizontal="center" vertical="center"/>
    </xf>
    <xf numFmtId="0" fontId="21" fillId="4" borderId="34" xfId="0" applyFont="1" applyFill="1" applyBorder="1" applyAlignment="1" applyProtection="1">
      <alignment horizontal="left"/>
    </xf>
    <xf numFmtId="0" fontId="3" fillId="5" borderId="3" xfId="0" applyFont="1" applyFill="1" applyBorder="1" applyAlignment="1" applyProtection="1">
      <alignment horizontal="center"/>
    </xf>
    <xf numFmtId="0" fontId="22" fillId="13" borderId="35" xfId="0" applyFont="1" applyFill="1" applyBorder="1" applyAlignment="1" applyProtection="1">
      <alignment horizontal="left"/>
    </xf>
    <xf numFmtId="0" fontId="39" fillId="2" borderId="44" xfId="0" applyFont="1" applyFill="1" applyBorder="1" applyAlignment="1" applyProtection="1">
      <alignment horizontal="right"/>
    </xf>
    <xf numFmtId="0" fontId="40" fillId="2" borderId="0" xfId="0" applyFont="1" applyFill="1" applyAlignment="1" applyProtection="1">
      <alignment horizontal="right" vertical="center"/>
    </xf>
    <xf numFmtId="0" fontId="41" fillId="2" borderId="0" xfId="0" applyFont="1" applyFill="1" applyBorder="1" applyAlignment="1" applyProtection="1">
      <alignment horizontal="right" vertical="center"/>
    </xf>
    <xf numFmtId="0" fontId="34" fillId="30" borderId="12" xfId="0" applyFont="1" applyFill="1" applyBorder="1" applyAlignment="1" applyProtection="1">
      <alignment horizontal="center"/>
    </xf>
    <xf numFmtId="0" fontId="34" fillId="30" borderId="42" xfId="0" applyFont="1" applyFill="1" applyBorder="1" applyAlignment="1" applyProtection="1">
      <alignment horizontal="center"/>
    </xf>
    <xf numFmtId="0" fontId="22" fillId="2" borderId="0" xfId="0" applyFont="1" applyFill="1" applyBorder="1" applyAlignment="1" applyProtection="1">
      <alignment horizontal="left"/>
    </xf>
    <xf numFmtId="0" fontId="12" fillId="14" borderId="0" xfId="0" applyFont="1" applyFill="1" applyBorder="1" applyAlignment="1" applyProtection="1">
      <alignment horizontal="center"/>
      <protection locked="0"/>
    </xf>
    <xf numFmtId="0" fontId="10" fillId="2" borderId="0" xfId="0" applyFont="1" applyFill="1" applyBorder="1" applyAlignment="1" applyProtection="1">
      <alignment horizontal="center" vertical="top"/>
    </xf>
    <xf numFmtId="0" fontId="13" fillId="2" borderId="28" xfId="0" applyFont="1" applyFill="1" applyBorder="1" applyAlignment="1" applyProtection="1">
      <alignment horizontal="left"/>
    </xf>
    <xf numFmtId="0" fontId="13" fillId="2" borderId="0" xfId="0" applyFont="1" applyFill="1" applyBorder="1" applyAlignment="1" applyProtection="1">
      <alignment horizontal="left"/>
    </xf>
    <xf numFmtId="0" fontId="38" fillId="2" borderId="5" xfId="0" applyFont="1" applyFill="1" applyBorder="1" applyAlignment="1" applyProtection="1">
      <alignment horizontal="left"/>
    </xf>
    <xf numFmtId="0" fontId="37" fillId="3" borderId="44" xfId="0" applyFont="1" applyFill="1" applyBorder="1" applyAlignment="1" applyProtection="1">
      <alignment horizontal="center" vertical="center"/>
    </xf>
    <xf numFmtId="0" fontId="37" fillId="3" borderId="39" xfId="0" applyFont="1" applyFill="1" applyBorder="1" applyAlignment="1" applyProtection="1">
      <alignment horizontal="center" vertical="center"/>
    </xf>
    <xf numFmtId="0" fontId="37" fillId="3" borderId="5" xfId="0" applyFont="1" applyFill="1" applyBorder="1" applyAlignment="1" applyProtection="1">
      <alignment horizontal="center" vertical="center"/>
    </xf>
    <xf numFmtId="0" fontId="37" fillId="3" borderId="7" xfId="0" applyFont="1" applyFill="1" applyBorder="1" applyAlignment="1" applyProtection="1">
      <alignment horizontal="center" vertical="center"/>
    </xf>
    <xf numFmtId="0" fontId="34" fillId="29" borderId="12" xfId="0" applyFont="1" applyFill="1" applyBorder="1" applyAlignment="1" applyProtection="1">
      <alignment horizontal="center"/>
    </xf>
    <xf numFmtId="0" fontId="34" fillId="29" borderId="42" xfId="0" applyFont="1" applyFill="1" applyBorder="1" applyAlignment="1" applyProtection="1">
      <alignment horizontal="center"/>
    </xf>
    <xf numFmtId="0" fontId="34" fillId="29" borderId="43" xfId="0" applyFont="1" applyFill="1" applyBorder="1" applyAlignment="1" applyProtection="1">
      <alignment horizontal="center"/>
    </xf>
    <xf numFmtId="0" fontId="36" fillId="27" borderId="12" xfId="0" applyFont="1" applyFill="1" applyBorder="1" applyAlignment="1" applyProtection="1">
      <alignment horizontal="center"/>
    </xf>
    <xf numFmtId="0" fontId="36" fillId="27" borderId="42" xfId="0" applyFont="1" applyFill="1" applyBorder="1" applyAlignment="1" applyProtection="1">
      <alignment horizontal="center"/>
    </xf>
    <xf numFmtId="0" fontId="34" fillId="28" borderId="12" xfId="0" applyFont="1" applyFill="1" applyBorder="1" applyAlignment="1" applyProtection="1">
      <alignment horizontal="center"/>
    </xf>
    <xf numFmtId="0" fontId="34" fillId="28" borderId="42" xfId="0" applyFont="1" applyFill="1" applyBorder="1" applyAlignment="1" applyProtection="1">
      <alignment horizontal="center"/>
    </xf>
    <xf numFmtId="0" fontId="34" fillId="28" borderId="43" xfId="0" applyFont="1" applyFill="1" applyBorder="1" applyAlignment="1" applyProtection="1">
      <alignment horizontal="center"/>
    </xf>
    <xf numFmtId="0" fontId="32" fillId="24" borderId="21" xfId="0" applyFont="1" applyFill="1" applyBorder="1" applyAlignment="1" applyProtection="1">
      <alignment horizontal="left"/>
    </xf>
    <xf numFmtId="0" fontId="32" fillId="24" borderId="44" xfId="0" applyFont="1" applyFill="1" applyBorder="1" applyAlignment="1" applyProtection="1">
      <alignment horizontal="left"/>
    </xf>
    <xf numFmtId="0" fontId="32" fillId="24" borderId="39" xfId="0" applyFont="1" applyFill="1" applyBorder="1" applyAlignment="1" applyProtection="1">
      <alignment horizontal="left"/>
    </xf>
    <xf numFmtId="0" fontId="33" fillId="25" borderId="1" xfId="0" applyFont="1" applyFill="1" applyBorder="1" applyAlignment="1" applyProtection="1">
      <alignment horizontal="center"/>
    </xf>
    <xf numFmtId="0" fontId="33" fillId="25" borderId="0" xfId="0" applyFont="1" applyFill="1" applyBorder="1" applyAlignment="1" applyProtection="1">
      <alignment horizontal="center"/>
    </xf>
    <xf numFmtId="0" fontId="33" fillId="25" borderId="2" xfId="0" applyFont="1" applyFill="1" applyBorder="1" applyAlignment="1" applyProtection="1">
      <alignment horizontal="center"/>
    </xf>
    <xf numFmtId="0" fontId="34" fillId="8" borderId="12" xfId="0" applyFont="1" applyFill="1" applyBorder="1" applyAlignment="1" applyProtection="1">
      <alignment horizontal="center"/>
    </xf>
    <xf numFmtId="0" fontId="34" fillId="8" borderId="42" xfId="0" applyFont="1" applyFill="1" applyBorder="1" applyAlignment="1" applyProtection="1">
      <alignment horizontal="center"/>
    </xf>
    <xf numFmtId="0" fontId="4" fillId="3" borderId="0" xfId="0" applyFont="1" applyFill="1" applyBorder="1" applyAlignment="1" applyProtection="1">
      <alignment horizontal="center"/>
    </xf>
    <xf numFmtId="9" fontId="8" fillId="3" borderId="0" xfId="0" applyNumberFormat="1" applyFont="1" applyFill="1" applyBorder="1" applyAlignment="1" applyProtection="1">
      <alignment horizontal="center"/>
    </xf>
    <xf numFmtId="0" fontId="34" fillId="26" borderId="12" xfId="0" applyFont="1" applyFill="1" applyBorder="1" applyAlignment="1" applyProtection="1">
      <alignment horizontal="center"/>
    </xf>
    <xf numFmtId="0" fontId="34" fillId="26" borderId="42" xfId="0" applyFont="1" applyFill="1" applyBorder="1" applyAlignment="1" applyProtection="1">
      <alignment horizontal="center"/>
    </xf>
    <xf numFmtId="0" fontId="34" fillId="26" borderId="43" xfId="0" applyFont="1" applyFill="1" applyBorder="1" applyAlignment="1" applyProtection="1">
      <alignment horizontal="center"/>
    </xf>
    <xf numFmtId="3" fontId="35" fillId="3" borderId="21" xfId="0" applyNumberFormat="1" applyFont="1" applyFill="1" applyBorder="1" applyAlignment="1" applyProtection="1">
      <alignment horizontal="center" vertical="center"/>
    </xf>
    <xf numFmtId="3" fontId="35" fillId="3" borderId="4" xfId="0" applyNumberFormat="1" applyFont="1" applyFill="1" applyBorder="1" applyAlignment="1" applyProtection="1">
      <alignment horizontal="center" vertical="center"/>
    </xf>
    <xf numFmtId="0" fontId="3" fillId="14" borderId="0" xfId="0" applyFont="1" applyFill="1" applyBorder="1" applyAlignment="1" applyProtection="1">
      <alignment horizontal="center"/>
    </xf>
    <xf numFmtId="10" fontId="2" fillId="14" borderId="0" xfId="0" applyNumberFormat="1" applyFont="1" applyFill="1" applyBorder="1" applyAlignment="1" applyProtection="1">
      <alignment horizontal="center"/>
    </xf>
    <xf numFmtId="0" fontId="4" fillId="13" borderId="0" xfId="0" applyFont="1" applyFill="1" applyAlignment="1">
      <alignment horizontal="center"/>
    </xf>
    <xf numFmtId="0" fontId="47" fillId="0" borderId="0" xfId="0" applyFont="1" applyAlignment="1">
      <alignment horizontal="center"/>
    </xf>
    <xf numFmtId="0" fontId="58" fillId="0" borderId="0" xfId="0" applyFont="1" applyAlignment="1">
      <alignment horizontal="center" wrapText="1"/>
    </xf>
    <xf numFmtId="0" fontId="59" fillId="0" borderId="0" xfId="0" applyFont="1" applyAlignment="1">
      <alignment horizontal="center"/>
    </xf>
    <xf numFmtId="10" fontId="4" fillId="0" borderId="0" xfId="0" applyNumberFormat="1" applyFont="1" applyAlignment="1">
      <alignment horizontal="center"/>
    </xf>
    <xf numFmtId="0" fontId="4" fillId="0" borderId="0" xfId="0" applyFont="1" applyAlignment="1">
      <alignment horizontal="center"/>
    </xf>
    <xf numFmtId="0" fontId="51" fillId="0" borderId="0" xfId="0" applyFont="1" applyAlignment="1">
      <alignment horizontal="right"/>
    </xf>
    <xf numFmtId="0" fontId="52" fillId="0" borderId="0" xfId="0" applyFont="1" applyAlignment="1">
      <alignment horizontal="center"/>
    </xf>
    <xf numFmtId="0" fontId="37" fillId="0" borderId="44" xfId="0" applyFont="1" applyBorder="1" applyAlignment="1">
      <alignment horizontal="center" vertical="center"/>
    </xf>
    <xf numFmtId="0" fontId="37" fillId="0" borderId="39" xfId="0" applyFont="1" applyBorder="1" applyAlignment="1">
      <alignment horizontal="center" vertical="center"/>
    </xf>
    <xf numFmtId="0" fontId="37" fillId="0" borderId="5" xfId="0" applyFont="1" applyBorder="1" applyAlignment="1">
      <alignment horizontal="center" vertical="center"/>
    </xf>
    <xf numFmtId="0" fontId="37" fillId="0" borderId="7" xfId="0" applyFont="1" applyBorder="1" applyAlignment="1">
      <alignment horizontal="center" vertical="center"/>
    </xf>
    <xf numFmtId="0" fontId="0" fillId="0" borderId="45" xfId="0" applyBorder="1" applyAlignment="1">
      <alignment horizontal="center"/>
    </xf>
    <xf numFmtId="0" fontId="0" fillId="0" borderId="34" xfId="0" applyBorder="1" applyAlignment="1">
      <alignment horizontal="center"/>
    </xf>
    <xf numFmtId="0" fontId="4" fillId="24" borderId="0" xfId="0" applyFont="1" applyFill="1" applyAlignment="1">
      <alignment horizontal="left"/>
    </xf>
    <xf numFmtId="0" fontId="48" fillId="0" borderId="0" xfId="0" applyFont="1" applyBorder="1" applyAlignment="1">
      <alignment horizontal="left" vertical="center"/>
    </xf>
    <xf numFmtId="0" fontId="48" fillId="0" borderId="52" xfId="0" applyFont="1" applyBorder="1" applyAlignment="1">
      <alignment horizontal="left" vertical="center"/>
    </xf>
    <xf numFmtId="0" fontId="2" fillId="0" borderId="0" xfId="0" applyFont="1" applyAlignment="1">
      <alignment horizontal="center" vertical="center"/>
    </xf>
    <xf numFmtId="0" fontId="2" fillId="0" borderId="0" xfId="0" applyFont="1" applyAlignment="1">
      <alignment horizontal="center"/>
    </xf>
    <xf numFmtId="0" fontId="44" fillId="0" borderId="0" xfId="0" applyFont="1" applyAlignment="1">
      <alignment horizontal="center" wrapText="1"/>
    </xf>
    <xf numFmtId="0" fontId="44" fillId="0" borderId="0" xfId="0" applyFont="1" applyAlignment="1">
      <alignment horizontal="center"/>
    </xf>
    <xf numFmtId="10" fontId="3" fillId="14" borderId="0" xfId="0" applyNumberFormat="1" applyFont="1" applyFill="1" applyBorder="1" applyAlignment="1" applyProtection="1">
      <alignment horizontal="center"/>
    </xf>
    <xf numFmtId="0" fontId="4" fillId="2" borderId="0" xfId="0" applyFont="1" applyFill="1" applyAlignment="1">
      <alignment horizontal="center"/>
    </xf>
    <xf numFmtId="11" fontId="56" fillId="0" borderId="0" xfId="0" applyNumberFormat="1" applyFont="1" applyAlignment="1">
      <alignment horizontal="left" vertical="center" wrapText="1"/>
    </xf>
    <xf numFmtId="0" fontId="0" fillId="11" borderId="0" xfId="0" applyFill="1" applyAlignment="1">
      <alignment horizontal="left"/>
    </xf>
    <xf numFmtId="0" fontId="0" fillId="11" borderId="27" xfId="0" applyFill="1" applyBorder="1" applyAlignment="1">
      <alignment horizontal="left"/>
    </xf>
    <xf numFmtId="0" fontId="0" fillId="12" borderId="5" xfId="0" applyFill="1" applyBorder="1" applyAlignment="1">
      <alignment horizontal="left"/>
    </xf>
    <xf numFmtId="0" fontId="0" fillId="12" borderId="41" xfId="0" applyFill="1" applyBorder="1" applyAlignment="1">
      <alignment horizontal="left"/>
    </xf>
    <xf numFmtId="0" fontId="0" fillId="27" borderId="0" xfId="0" applyFill="1" applyAlignment="1">
      <alignment horizontal="left"/>
    </xf>
    <xf numFmtId="10" fontId="14" fillId="0" borderId="37" xfId="0" applyNumberFormat="1" applyFont="1" applyBorder="1" applyAlignment="1">
      <alignment horizontal="right" vertical="center"/>
    </xf>
    <xf numFmtId="0" fontId="14" fillId="0" borderId="34" xfId="0" applyFont="1" applyBorder="1" applyAlignment="1">
      <alignment horizontal="right" vertical="center"/>
    </xf>
    <xf numFmtId="0" fontId="57" fillId="0" borderId="0" xfId="0" applyFont="1" applyFill="1" applyAlignment="1">
      <alignment horizontal="center" vertical="center" textRotation="90"/>
    </xf>
    <xf numFmtId="0" fontId="0" fillId="30" borderId="0" xfId="0" applyFill="1" applyAlignment="1">
      <alignment horizontal="left"/>
    </xf>
    <xf numFmtId="0" fontId="4" fillId="9" borderId="0" xfId="0" applyFont="1" applyFill="1" applyAlignment="1">
      <alignment horizontal="center"/>
    </xf>
    <xf numFmtId="10" fontId="14" fillId="0" borderId="36" xfId="0" applyNumberFormat="1" applyFont="1" applyBorder="1" applyAlignment="1">
      <alignment horizontal="right" vertical="center"/>
    </xf>
    <xf numFmtId="0" fontId="14" fillId="0" borderId="35" xfId="0" applyFont="1" applyBorder="1" applyAlignment="1">
      <alignment horizontal="right" vertical="center"/>
    </xf>
    <xf numFmtId="0" fontId="19" fillId="20" borderId="0" xfId="0" applyFont="1" applyFill="1" applyAlignment="1">
      <alignment horizontal="center" vertical="center" wrapText="1"/>
    </xf>
    <xf numFmtId="0" fontId="19" fillId="20" borderId="0" xfId="0" applyFont="1" applyFill="1" applyAlignment="1">
      <alignment horizontal="center" vertical="center"/>
    </xf>
    <xf numFmtId="10" fontId="14" fillId="0" borderId="38" xfId="0" applyNumberFormat="1" applyFont="1" applyBorder="1" applyAlignment="1">
      <alignment horizontal="right" vertical="center"/>
    </xf>
    <xf numFmtId="0" fontId="14" fillId="0" borderId="46" xfId="0" applyFont="1" applyBorder="1" applyAlignment="1">
      <alignment horizontal="right" vertical="center"/>
    </xf>
    <xf numFmtId="0" fontId="0" fillId="8" borderId="0" xfId="0" applyFill="1" applyAlignment="1">
      <alignment horizontal="left"/>
    </xf>
    <xf numFmtId="0" fontId="2" fillId="0" borderId="0" xfId="0" applyFont="1" applyBorder="1" applyAlignment="1">
      <alignment horizontal="left" vertical="center"/>
    </xf>
    <xf numFmtId="0" fontId="0" fillId="32" borderId="0" xfId="0" applyFill="1" applyAlignment="1">
      <alignment horizontal="left"/>
    </xf>
    <xf numFmtId="9" fontId="14" fillId="22" borderId="0" xfId="0" applyNumberFormat="1" applyFont="1" applyFill="1" applyAlignment="1">
      <alignment horizontal="right"/>
    </xf>
    <xf numFmtId="0" fontId="18" fillId="0" borderId="0" xfId="0" applyFont="1" applyAlignment="1">
      <alignment horizontal="left" vertical="top" wrapText="1"/>
    </xf>
    <xf numFmtId="168" fontId="0" fillId="0" borderId="0" xfId="0" applyNumberFormat="1" applyAlignment="1">
      <alignment horizontal="right"/>
    </xf>
    <xf numFmtId="0" fontId="47" fillId="0" borderId="0" xfId="0" applyFont="1" applyAlignment="1">
      <alignment horizontal="center" wrapText="1"/>
    </xf>
    <xf numFmtId="0" fontId="0" fillId="29" borderId="0" xfId="0" applyFill="1" applyAlignment="1">
      <alignment horizontal="left"/>
    </xf>
    <xf numFmtId="0" fontId="4" fillId="22" borderId="0" xfId="0" applyFont="1" applyFill="1" applyAlignment="1">
      <alignment horizontal="left"/>
    </xf>
    <xf numFmtId="0" fontId="0" fillId="10" borderId="0" xfId="0" applyFill="1" applyAlignment="1">
      <alignment horizontal="left"/>
    </xf>
    <xf numFmtId="0" fontId="0" fillId="10" borderId="27" xfId="0" applyFill="1" applyBorder="1" applyAlignment="1">
      <alignment horizontal="left"/>
    </xf>
    <xf numFmtId="3" fontId="14" fillId="24" borderId="0" xfId="0" applyNumberFormat="1" applyFont="1" applyFill="1" applyAlignment="1">
      <alignment horizontal="right"/>
    </xf>
    <xf numFmtId="164" fontId="14" fillId="22" borderId="0" xfId="0" applyNumberFormat="1" applyFont="1" applyFill="1" applyAlignment="1">
      <alignment horizontal="right"/>
    </xf>
    <xf numFmtId="0" fontId="0" fillId="2" borderId="5" xfId="0" applyFill="1" applyBorder="1" applyAlignment="1">
      <alignment horizontal="left"/>
    </xf>
    <xf numFmtId="0" fontId="0" fillId="13" borderId="0" xfId="0" applyFill="1" applyAlignment="1">
      <alignment horizontal="left"/>
    </xf>
    <xf numFmtId="0" fontId="0" fillId="13" borderId="27" xfId="0" applyFill="1" applyBorder="1" applyAlignment="1">
      <alignment horizontal="left"/>
    </xf>
    <xf numFmtId="164" fontId="14" fillId="24" borderId="0" xfId="0" applyNumberFormat="1" applyFont="1" applyFill="1" applyAlignment="1">
      <alignment horizontal="right"/>
    </xf>
    <xf numFmtId="0" fontId="43" fillId="20" borderId="0" xfId="0" applyFont="1" applyFill="1" applyAlignment="1">
      <alignment horizontal="center" vertical="center"/>
    </xf>
    <xf numFmtId="0" fontId="53" fillId="0" borderId="0" xfId="0" applyFont="1" applyBorder="1" applyAlignment="1">
      <alignment horizontal="left" vertical="center" wrapText="1"/>
    </xf>
    <xf numFmtId="0" fontId="53" fillId="0" borderId="53" xfId="0" applyFont="1" applyBorder="1" applyAlignment="1">
      <alignment horizontal="left" vertical="center" wrapText="1"/>
    </xf>
    <xf numFmtId="0" fontId="53" fillId="0" borderId="54" xfId="0" applyFont="1" applyBorder="1" applyAlignment="1">
      <alignment horizontal="left" vertical="center" wrapText="1"/>
    </xf>
    <xf numFmtId="0" fontId="53" fillId="0" borderId="55" xfId="0" applyFont="1" applyBorder="1" applyAlignment="1">
      <alignment horizontal="left" vertical="center" wrapText="1"/>
    </xf>
    <xf numFmtId="166" fontId="54" fillId="0" borderId="0" xfId="0" applyNumberFormat="1" applyFont="1" applyBorder="1" applyAlignment="1">
      <alignment horizontal="left"/>
    </xf>
    <xf numFmtId="167" fontId="55" fillId="0" borderId="0" xfId="0" applyNumberFormat="1" applyFont="1" applyBorder="1" applyAlignment="1">
      <alignment horizontal="center" vertical="center"/>
    </xf>
    <xf numFmtId="167" fontId="55" fillId="0" borderId="54" xfId="0" applyNumberFormat="1" applyFont="1" applyBorder="1" applyAlignment="1">
      <alignment horizontal="center" vertical="center"/>
    </xf>
    <xf numFmtId="0" fontId="0" fillId="31" borderId="0" xfId="0" applyFill="1" applyAlignment="1">
      <alignment horizontal="left"/>
    </xf>
    <xf numFmtId="0" fontId="0" fillId="0" borderId="0" xfId="0" applyBorder="1" applyAlignment="1">
      <alignment horizontal="center"/>
    </xf>
    <xf numFmtId="0" fontId="4" fillId="22" borderId="5" xfId="0" applyFont="1" applyFill="1" applyBorder="1" applyAlignment="1">
      <alignment horizontal="left"/>
    </xf>
    <xf numFmtId="0" fontId="50" fillId="0" borderId="0" xfId="0" applyFont="1" applyAlignment="1">
      <alignment horizontal="center" vertical="center" wrapText="1"/>
    </xf>
    <xf numFmtId="0" fontId="50" fillId="0" borderId="2" xfId="0" applyFont="1" applyBorder="1" applyAlignment="1">
      <alignment horizontal="center" vertical="center" wrapText="1"/>
    </xf>
    <xf numFmtId="10" fontId="14" fillId="24" borderId="0" xfId="0" applyNumberFormat="1" applyFont="1" applyFill="1" applyAlignment="1">
      <alignment horizontal="right"/>
    </xf>
    <xf numFmtId="10" fontId="14" fillId="22" borderId="5" xfId="0" applyNumberFormat="1" applyFont="1" applyFill="1" applyBorder="1" applyAlignment="1">
      <alignment horizontal="right"/>
    </xf>
    <xf numFmtId="173" fontId="14" fillId="22" borderId="5" xfId="0" applyNumberFormat="1" applyFont="1" applyFill="1" applyBorder="1" applyAlignment="1">
      <alignment horizontal="right"/>
    </xf>
    <xf numFmtId="0" fontId="14" fillId="0" borderId="0" xfId="0" applyFont="1" applyAlignment="1">
      <alignment horizontal="left" vertical="top" wrapText="1"/>
    </xf>
    <xf numFmtId="0" fontId="4" fillId="0" borderId="0" xfId="0" applyFont="1" applyAlignment="1">
      <alignment horizontal="left"/>
    </xf>
    <xf numFmtId="0" fontId="49" fillId="0" borderId="0" xfId="0" applyFont="1" applyAlignment="1">
      <alignment horizontal="left" vertical="center"/>
    </xf>
    <xf numFmtId="0" fontId="14" fillId="0" borderId="0" xfId="0" applyFont="1" applyAlignment="1">
      <alignment horizontal="center" vertical="top" wrapText="1"/>
    </xf>
    <xf numFmtId="0" fontId="14" fillId="0" borderId="0" xfId="0" applyFont="1" applyBorder="1" applyAlignment="1">
      <alignment horizontal="left" vertical="top" wrapText="1"/>
    </xf>
    <xf numFmtId="0" fontId="49" fillId="0" borderId="0" xfId="0" applyFont="1" applyAlignment="1">
      <alignment horizontal="left"/>
    </xf>
    <xf numFmtId="0" fontId="46" fillId="0" borderId="0" xfId="0" applyFont="1" applyAlignment="1">
      <alignment horizontal="center" wrapText="1"/>
    </xf>
    <xf numFmtId="0" fontId="45" fillId="0" borderId="0" xfId="0" applyFont="1" applyAlignment="1">
      <alignment horizontal="left" wrapText="1"/>
    </xf>
    <xf numFmtId="0" fontId="4" fillId="0" borderId="0" xfId="0" applyFont="1" applyAlignment="1">
      <alignment horizontal="left" vertical="top" wrapText="1"/>
    </xf>
    <xf numFmtId="0" fontId="42" fillId="0" borderId="44" xfId="0" applyFont="1" applyBorder="1" applyAlignment="1">
      <alignment horizontal="center"/>
    </xf>
    <xf numFmtId="0" fontId="2" fillId="14" borderId="0" xfId="0" applyFont="1" applyFill="1" applyBorder="1" applyAlignment="1">
      <alignment horizontal="center"/>
    </xf>
    <xf numFmtId="10" fontId="2" fillId="14" borderId="0" xfId="0" applyNumberFormat="1" applyFont="1" applyFill="1" applyBorder="1" applyAlignment="1">
      <alignment horizontal="center"/>
    </xf>
    <xf numFmtId="10" fontId="2" fillId="0" borderId="0" xfId="0" applyNumberFormat="1" applyFont="1" applyAlignment="1">
      <alignment horizontal="center"/>
    </xf>
  </cellXfs>
  <cellStyles count="1">
    <cellStyle name="Normal" xfId="0" builtinId="0"/>
  </cellStyles>
  <dxfs count="11">
    <dxf>
      <fill>
        <gradientFill degree="270">
          <stop position="0">
            <color rgb="FFFE8206"/>
          </stop>
          <stop position="1">
            <color rgb="FFFD1907"/>
          </stop>
        </gradientFill>
      </fill>
    </dxf>
    <dxf>
      <fill>
        <gradientFill degree="270">
          <stop position="0">
            <color rgb="FFFFA605"/>
          </stop>
          <stop position="1">
            <color rgb="FFFE8206"/>
          </stop>
        </gradientFill>
      </fill>
    </dxf>
    <dxf>
      <fill>
        <gradientFill degree="270">
          <stop position="0">
            <color rgb="FFFFB805"/>
          </stop>
          <stop position="1">
            <color rgb="FFFFA605"/>
          </stop>
        </gradientFill>
      </fill>
    </dxf>
    <dxf>
      <fill>
        <gradientFill degree="270">
          <stop position="0">
            <color rgb="FFFFCF05"/>
          </stop>
          <stop position="1">
            <color rgb="FFFFB805"/>
          </stop>
        </gradientFill>
      </fill>
    </dxf>
    <dxf>
      <fill>
        <gradientFill degree="270">
          <stop position="0">
            <color rgb="FFFFED05"/>
          </stop>
          <stop position="1">
            <color rgb="FFFFCF05"/>
          </stop>
        </gradientFill>
      </fill>
    </dxf>
    <dxf>
      <fill>
        <gradientFill degree="270">
          <stop position="0">
            <color rgb="FFDBDB29"/>
          </stop>
          <stop position="1">
            <color rgb="FFFFED05"/>
          </stop>
        </gradientFill>
      </fill>
    </dxf>
    <dxf>
      <fill>
        <gradientFill degree="270">
          <stop position="0">
            <color rgb="FFC4D430"/>
          </stop>
          <stop position="1">
            <color rgb="FFDBDB29"/>
          </stop>
        </gradientFill>
      </fill>
    </dxf>
    <dxf>
      <fill>
        <gradientFill degree="270">
          <stop position="0">
            <color rgb="FFAABF2F"/>
          </stop>
          <stop position="1">
            <color rgb="FFC4D430"/>
          </stop>
        </gradientFill>
      </fill>
    </dxf>
    <dxf>
      <fill>
        <gradientFill degree="270">
          <stop position="0">
            <color rgb="FF7ABD31"/>
          </stop>
          <stop position="1">
            <color rgb="FFAABF2F"/>
          </stop>
        </gradientFill>
      </fill>
    </dxf>
    <dxf>
      <fill>
        <gradientFill degree="270">
          <stop position="0">
            <color rgb="FF659C28"/>
          </stop>
          <stop position="1">
            <color rgb="FF7ABD31"/>
          </stop>
        </gradientFill>
      </fill>
    </dxf>
    <dxf>
      <fill>
        <gradientFill degree="270">
          <stop position="0">
            <color rgb="FF568622"/>
          </stop>
          <stop position="1">
            <color rgb="FF659C28"/>
          </stop>
        </gradient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lang val="en-US"/>
  <c:style val="42"/>
  <c:chart>
    <c:view3D>
      <c:rotX val="30"/>
      <c:rotY val="140"/>
      <c:perspective val="70"/>
    </c:view3D>
    <c:plotArea>
      <c:layout>
        <c:manualLayout>
          <c:layoutTarget val="inner"/>
          <c:xMode val="edge"/>
          <c:yMode val="edge"/>
          <c:x val="0.12929437153689177"/>
          <c:y val="0.1255338067767337"/>
          <c:w val="0.71382747156605464"/>
          <c:h val="0.78762573786587908"/>
        </c:manualLayout>
      </c:layout>
      <c:pie3DChart>
        <c:varyColors val="1"/>
        <c:ser>
          <c:idx val="0"/>
          <c:order val="0"/>
          <c:dPt>
            <c:idx val="0"/>
          </c:dPt>
          <c:dPt>
            <c:idx val="1"/>
          </c:dPt>
          <c:dPt>
            <c:idx val="2"/>
          </c:dPt>
          <c:dPt>
            <c:idx val="3"/>
          </c:dPt>
          <c:dPt>
            <c:idx val="4"/>
          </c:dPt>
          <c:dPt>
            <c:idx val="5"/>
          </c:dPt>
          <c:cat>
            <c:strRef>
              <c:f>'Calculator } ASSET ALLOCATOR'!$E$13:$E$18</c:f>
              <c:strCache>
                <c:ptCount val="6"/>
                <c:pt idx="0">
                  <c:v>Fixed Income</c:v>
                </c:pt>
                <c:pt idx="1">
                  <c:v>Real Assets</c:v>
                </c:pt>
                <c:pt idx="2">
                  <c:v>Absolute Return</c:v>
                </c:pt>
                <c:pt idx="3">
                  <c:v>Private Equity</c:v>
                </c:pt>
                <c:pt idx="4">
                  <c:v>Cash</c:v>
                </c:pt>
                <c:pt idx="5">
                  <c:v>Equity</c:v>
                </c:pt>
              </c:strCache>
            </c:strRef>
          </c:cat>
          <c:val>
            <c:numRef>
              <c:f>'Calculator } ASSET ALLOCATOR'!$F$13:$F$18</c:f>
              <c:numCache>
                <c:formatCode>0.00%</c:formatCode>
                <c:ptCount val="6"/>
                <c:pt idx="0">
                  <c:v>2.9996999999999999E-2</c:v>
                </c:pt>
                <c:pt idx="1">
                  <c:v>0.26997300000000002</c:v>
                </c:pt>
                <c:pt idx="2">
                  <c:v>0.25247475000000003</c:v>
                </c:pt>
                <c:pt idx="3">
                  <c:v>0.17248274999999999</c:v>
                </c:pt>
                <c:pt idx="4">
                  <c:v>1E-4</c:v>
                </c:pt>
                <c:pt idx="5">
                  <c:v>0.27497250000000001</c:v>
                </c:pt>
              </c:numCache>
            </c:numRef>
          </c:val>
        </c:ser>
        <c:dLbls>
          <c:showPercent val="1"/>
        </c:dLbls>
      </c:pie3DChart>
      <c:spPr>
        <a:noFill/>
        <a:ln w="25400">
          <a:noFill/>
        </a:ln>
      </c:spPr>
    </c:plotArea>
    <c:plotVisOnly val="1"/>
    <c:dispBlanksAs val="zero"/>
  </c:chart>
  <c:spPr>
    <a:noFill/>
    <a:effectLst>
      <a:outerShdw blurRad="228600" dist="812800" dir="7200000" sx="106000" sy="106000" rotWithShape="0">
        <a:prstClr val="black">
          <a:alpha val="15000"/>
        </a:prstClr>
      </a:outerShdw>
    </a:effectLst>
  </c:spPr>
  <c:printSettings>
    <c:headerFooter/>
    <c:pageMargins b="0.75000000000000133" l="0.70000000000000062" r="0.70000000000000062" t="0.75000000000000133"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style val="42"/>
  <c:chart>
    <c:plotArea>
      <c:layout>
        <c:manualLayout>
          <c:layoutTarget val="inner"/>
          <c:xMode val="edge"/>
          <c:yMode val="edge"/>
          <c:x val="9.6913829644225905E-3"/>
          <c:y val="0"/>
          <c:w val="0.97518624527234798"/>
          <c:h val="1"/>
        </c:manualLayout>
      </c:layout>
      <c:ofPieChart>
        <c:ofPieType val="pie"/>
        <c:varyColors val="1"/>
        <c:ser>
          <c:idx val="0"/>
          <c:order val="0"/>
          <c:dPt>
            <c:idx val="0"/>
          </c:dPt>
          <c:dPt>
            <c:idx val="1"/>
          </c:dPt>
          <c:dPt>
            <c:idx val="2"/>
          </c:dPt>
          <c:dPt>
            <c:idx val="3"/>
          </c:dPt>
          <c:dPt>
            <c:idx val="4"/>
          </c:dPt>
          <c:dPt>
            <c:idx val="5"/>
          </c:dPt>
          <c:dPt>
            <c:idx val="6"/>
          </c:dPt>
          <c:dPt>
            <c:idx val="7"/>
          </c:dPt>
          <c:dPt>
            <c:idx val="8"/>
            <c:spPr>
              <a:ln>
                <a:noFill/>
              </a:ln>
            </c:spPr>
          </c:dPt>
          <c:dPt>
            <c:idx val="9"/>
          </c:dPt>
          <c:dPt>
            <c:idx val="10"/>
          </c:dPt>
          <c:dLbls>
            <c:spPr>
              <a:noFill/>
              <a:ln>
                <a:noFill/>
              </a:ln>
            </c:spPr>
            <c:dLblPos val="bestFit"/>
            <c:showVal val="1"/>
            <c:showLeaderLines val="1"/>
          </c:dLbls>
          <c:cat>
            <c:strRef>
              <c:f>'FULL REPORT'!$E$76:$H$85</c:f>
              <c:strCache>
                <c:ptCount val="10"/>
                <c:pt idx="0">
                  <c:v>Fixed Income</c:v>
                </c:pt>
                <c:pt idx="1">
                  <c:v>Real Assets</c:v>
                </c:pt>
                <c:pt idx="2">
                  <c:v>Absolute Return</c:v>
                </c:pt>
                <c:pt idx="3">
                  <c:v>Private Equity</c:v>
                </c:pt>
                <c:pt idx="4">
                  <c:v>Cash</c:v>
                </c:pt>
                <c:pt idx="5">
                  <c:v>Blue Ships</c:v>
                </c:pt>
                <c:pt idx="6">
                  <c:v>Large Caps</c:v>
                </c:pt>
                <c:pt idx="7">
                  <c:v>Medium Caps</c:v>
                </c:pt>
                <c:pt idx="8">
                  <c:v>Small Caps</c:v>
                </c:pt>
                <c:pt idx="9">
                  <c:v>Foreign</c:v>
                </c:pt>
              </c:strCache>
            </c:strRef>
          </c:cat>
          <c:val>
            <c:numRef>
              <c:f>'FULL REPORT'!$I$76:$I$85</c:f>
              <c:numCache>
                <c:formatCode>0.00%</c:formatCode>
                <c:ptCount val="10"/>
                <c:pt idx="0">
                  <c:v>2.9996999999999999E-2</c:v>
                </c:pt>
                <c:pt idx="1">
                  <c:v>0.26997300000000002</c:v>
                </c:pt>
                <c:pt idx="2">
                  <c:v>0.25247475000000003</c:v>
                </c:pt>
                <c:pt idx="3">
                  <c:v>0.17248274999999999</c:v>
                </c:pt>
                <c:pt idx="4">
                  <c:v>1E-4</c:v>
                </c:pt>
                <c:pt idx="5">
                  <c:v>4.4261434441087606E-3</c:v>
                </c:pt>
                <c:pt idx="6">
                  <c:v>3.9835290996978856E-2</c:v>
                </c:pt>
                <c:pt idx="7">
                  <c:v>3.7253373987915402E-2</c:v>
                </c:pt>
                <c:pt idx="8">
                  <c:v>4.057298157099698E-2</c:v>
                </c:pt>
                <c:pt idx="9">
                  <c:v>0.15288471000000001</c:v>
                </c:pt>
              </c:numCache>
            </c:numRef>
          </c:val>
        </c:ser>
        <c:dLbls>
          <c:showPercent val="1"/>
        </c:dLbls>
        <c:gapWidth val="51"/>
        <c:splitType val="pos"/>
        <c:splitPos val="5"/>
        <c:secondPieSize val="66"/>
        <c:serLines>
          <c:spPr>
            <a:ln w="12700">
              <a:solidFill>
                <a:schemeClr val="tx1"/>
              </a:solidFill>
            </a:ln>
          </c:spPr>
        </c:serLines>
      </c:ofPieChart>
      <c:spPr>
        <a:noFill/>
        <a:ln w="25400">
          <a:noFill/>
        </a:ln>
      </c:spPr>
    </c:plotArea>
    <c:legend>
      <c:legendPos val="r"/>
      <c:layout>
        <c:manualLayout>
          <c:xMode val="edge"/>
          <c:yMode val="edge"/>
          <c:x val="2.5726906087958516E-2"/>
          <c:y val="0.85380797988486734"/>
          <c:w val="0.95310891016671706"/>
          <c:h val="0.1437243873927524"/>
        </c:manualLayout>
      </c:layout>
      <c:spPr>
        <a:noFill/>
        <a:ln w="25400">
          <a:solidFill>
            <a:schemeClr val="accent5">
              <a:lumMod val="75000"/>
            </a:schemeClr>
          </a:solidFill>
        </a:ln>
      </c:spPr>
    </c:legend>
    <c:plotVisOnly val="1"/>
    <c:dispBlanksAs val="zero"/>
  </c:chart>
  <c:spPr>
    <a:noFill/>
  </c:spPr>
  <c:txPr>
    <a:bodyPr/>
    <a:lstStyle/>
    <a:p>
      <a:pPr>
        <a:defRPr b="1" i="0" baseline="0">
          <a:solidFill>
            <a:schemeClr val="tx1"/>
          </a:solidFill>
        </a:defRPr>
      </a:pPr>
      <a:endParaRPr lang="en-US"/>
    </a:p>
  </c:txPr>
  <c:printSettings>
    <c:headerFooter/>
    <c:pageMargins b="0.75000000000000133" l="0.70000000000000062" r="0.70000000000000062" t="0.75000000000000133"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US"/>
  <c:style val="42"/>
  <c:chart>
    <c:view3D>
      <c:depthPercent val="100"/>
      <c:rAngAx val="1"/>
    </c:view3D>
    <c:plotArea>
      <c:layout>
        <c:manualLayout>
          <c:layoutTarget val="inner"/>
          <c:xMode val="edge"/>
          <c:yMode val="edge"/>
          <c:x val="0.10290567845685959"/>
          <c:y val="4.374726095017939E-2"/>
          <c:w val="0.89870220199766093"/>
          <c:h val="0.76548135681513163"/>
        </c:manualLayout>
      </c:layout>
      <c:bar3DChart>
        <c:barDir val="col"/>
        <c:grouping val="stacked"/>
        <c:ser>
          <c:idx val="1"/>
          <c:order val="0"/>
          <c:tx>
            <c:v>Other assets</c:v>
          </c:tx>
          <c:cat>
            <c:strLit>
              <c:ptCount val="1"/>
              <c:pt idx="0">
                <c:v> </c:v>
              </c:pt>
            </c:strLit>
          </c:cat>
          <c:val>
            <c:numRef>
              <c:f>('FULL REPORT'!$C$124,'FULL REPORT'!$C$126)</c:f>
              <c:numCache>
                <c:formatCode>0.00%</c:formatCode>
                <c:ptCount val="2"/>
                <c:pt idx="0">
                  <c:v>0.569075</c:v>
                </c:pt>
                <c:pt idx="1">
                  <c:v>0.569075</c:v>
                </c:pt>
              </c:numCache>
            </c:numRef>
          </c:val>
        </c:ser>
        <c:ser>
          <c:idx val="0"/>
          <c:order val="1"/>
          <c:tx>
            <c:v>Equity</c:v>
          </c:tx>
          <c:cat>
            <c:strLit>
              <c:ptCount val="1"/>
              <c:pt idx="0">
                <c:v> </c:v>
              </c:pt>
            </c:strLit>
          </c:cat>
          <c:val>
            <c:numRef>
              <c:f>'FULL REPORT'!$J$124</c:f>
              <c:numCache>
                <c:formatCode>0.00%</c:formatCode>
                <c:ptCount val="1"/>
                <c:pt idx="0">
                  <c:v>0.22375</c:v>
                </c:pt>
              </c:numCache>
            </c:numRef>
          </c:val>
        </c:ser>
        <c:ser>
          <c:idx val="2"/>
          <c:order val="2"/>
          <c:tx>
            <c:strRef>
              <c:f>'FULL REPORT'!$N$123:$O$123</c:f>
              <c:strCache>
                <c:ptCount val="1"/>
                <c:pt idx="0">
                  <c:v>LOSS</c:v>
                </c:pt>
              </c:strCache>
            </c:strRef>
          </c:tx>
          <c:val>
            <c:numRef>
              <c:f>'FULL REPORT'!$N$124:$O$124</c:f>
              <c:numCache>
                <c:formatCode>0.00%</c:formatCode>
                <c:ptCount val="2"/>
                <c:pt idx="0">
                  <c:v>0.207175</c:v>
                </c:pt>
                <c:pt idx="1">
                  <c:v>0.430925</c:v>
                </c:pt>
              </c:numCache>
            </c:numRef>
          </c:val>
        </c:ser>
        <c:gapWidth val="75"/>
        <c:shape val="box"/>
        <c:axId val="90405120"/>
        <c:axId val="90415104"/>
        <c:axId val="0"/>
      </c:bar3DChart>
      <c:catAx>
        <c:axId val="90405120"/>
        <c:scaling>
          <c:orientation val="minMax"/>
        </c:scaling>
        <c:axPos val="b"/>
        <c:numFmt formatCode="General" sourceLinked="1"/>
        <c:majorTickMark val="none"/>
        <c:tickLblPos val="nextTo"/>
        <c:crossAx val="90415104"/>
        <c:crosses val="autoZero"/>
        <c:auto val="1"/>
        <c:lblAlgn val="ctr"/>
        <c:lblOffset val="100"/>
      </c:catAx>
      <c:valAx>
        <c:axId val="90415104"/>
        <c:scaling>
          <c:orientation val="minMax"/>
        </c:scaling>
        <c:axPos val="l"/>
        <c:majorGridlines/>
        <c:numFmt formatCode="0.00%" sourceLinked="1"/>
        <c:majorTickMark val="none"/>
        <c:tickLblPos val="nextTo"/>
        <c:spPr>
          <a:ln w="9525">
            <a:noFill/>
          </a:ln>
        </c:spPr>
        <c:txPr>
          <a:bodyPr/>
          <a:lstStyle/>
          <a:p>
            <a:pPr>
              <a:defRPr sz="800">
                <a:solidFill>
                  <a:sysClr val="windowText" lastClr="000000"/>
                </a:solidFill>
                <a:latin typeface="Arial Narrow" pitchFamily="34" charset="0"/>
              </a:defRPr>
            </a:pPr>
            <a:endParaRPr lang="en-US"/>
          </a:p>
        </c:txPr>
        <c:crossAx val="90405120"/>
        <c:crosses val="autoZero"/>
        <c:crossBetween val="between"/>
      </c:valAx>
      <c:spPr>
        <a:noFill/>
        <a:ln w="25400">
          <a:noFill/>
        </a:ln>
      </c:spPr>
    </c:plotArea>
    <c:legend>
      <c:legendPos val="b"/>
      <c:layout/>
      <c:txPr>
        <a:bodyPr/>
        <a:lstStyle/>
        <a:p>
          <a:pPr>
            <a:defRPr>
              <a:solidFill>
                <a:sysClr val="windowText" lastClr="000000"/>
              </a:solidFill>
            </a:defRPr>
          </a:pPr>
          <a:endParaRPr lang="en-US"/>
        </a:p>
      </c:txPr>
    </c:legend>
    <c:plotVisOnly val="1"/>
    <c:dispBlanksAs val="gap"/>
  </c:chart>
  <c:spPr>
    <a:noFill/>
  </c:spPr>
  <c:printSettings>
    <c:headerFooter/>
    <c:pageMargins b="0.75000000000000133" l="0.70000000000000062" r="0.70000000000000062" t="0.75000000000000133"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US"/>
  <c:style val="42"/>
  <c:chart>
    <c:view3D>
      <c:depthPercent val="100"/>
      <c:rAngAx val="1"/>
    </c:view3D>
    <c:plotArea>
      <c:layout>
        <c:manualLayout>
          <c:layoutTarget val="inner"/>
          <c:xMode val="edge"/>
          <c:yMode val="edge"/>
          <c:x val="0.10290567845685965"/>
          <c:y val="4.3747260950179404E-2"/>
          <c:w val="0.89870220199766049"/>
          <c:h val="0.76548135681513163"/>
        </c:manualLayout>
      </c:layout>
      <c:bar3DChart>
        <c:barDir val="col"/>
        <c:grouping val="stacked"/>
        <c:ser>
          <c:idx val="1"/>
          <c:order val="0"/>
          <c:tx>
            <c:v>Other assets</c:v>
          </c:tx>
          <c:cat>
            <c:strLit>
              <c:ptCount val="1"/>
              <c:pt idx="0">
                <c:v> </c:v>
              </c:pt>
            </c:strLit>
          </c:cat>
          <c:val>
            <c:numRef>
              <c:f>('FULL REPORT'!$C$140,'FULL REPORT'!$C$142)</c:f>
              <c:numCache>
                <c:formatCode>0.00%</c:formatCode>
                <c:ptCount val="2"/>
                <c:pt idx="0">
                  <c:v>0.5525000000000001</c:v>
                </c:pt>
                <c:pt idx="1">
                  <c:v>0.55249999999999999</c:v>
                </c:pt>
              </c:numCache>
            </c:numRef>
          </c:val>
        </c:ser>
        <c:ser>
          <c:idx val="0"/>
          <c:order val="1"/>
          <c:tx>
            <c:v>Equity</c:v>
          </c:tx>
          <c:cat>
            <c:strLit>
              <c:ptCount val="1"/>
              <c:pt idx="0">
                <c:v> </c:v>
              </c:pt>
            </c:strLit>
          </c:cat>
          <c:val>
            <c:numRef>
              <c:f>'FULL REPORT'!$J$140</c:f>
              <c:numCache>
                <c:formatCode>0.00%</c:formatCode>
                <c:ptCount val="1"/>
                <c:pt idx="0">
                  <c:v>0.22375</c:v>
                </c:pt>
              </c:numCache>
            </c:numRef>
          </c:val>
        </c:ser>
        <c:ser>
          <c:idx val="2"/>
          <c:order val="2"/>
          <c:tx>
            <c:strRef>
              <c:f>'FULL REPORT'!$N$139</c:f>
              <c:strCache>
                <c:ptCount val="1"/>
                <c:pt idx="0">
                  <c:v>LOSS</c:v>
                </c:pt>
              </c:strCache>
            </c:strRef>
          </c:tx>
          <c:val>
            <c:numRef>
              <c:f>'FULL REPORT'!$N$140:$O$140</c:f>
              <c:numCache>
                <c:formatCode>0.00%</c:formatCode>
                <c:ptCount val="2"/>
                <c:pt idx="0">
                  <c:v>0.207175</c:v>
                </c:pt>
                <c:pt idx="1">
                  <c:v>0.430925</c:v>
                </c:pt>
              </c:numCache>
            </c:numRef>
          </c:val>
        </c:ser>
        <c:gapWidth val="75"/>
        <c:shape val="box"/>
        <c:axId val="91232512"/>
        <c:axId val="91254784"/>
        <c:axId val="0"/>
      </c:bar3DChart>
      <c:catAx>
        <c:axId val="91232512"/>
        <c:scaling>
          <c:orientation val="minMax"/>
        </c:scaling>
        <c:axPos val="b"/>
        <c:numFmt formatCode="General" sourceLinked="1"/>
        <c:majorTickMark val="none"/>
        <c:tickLblPos val="nextTo"/>
        <c:crossAx val="91254784"/>
        <c:crosses val="autoZero"/>
        <c:auto val="1"/>
        <c:lblAlgn val="ctr"/>
        <c:lblOffset val="100"/>
      </c:catAx>
      <c:valAx>
        <c:axId val="91254784"/>
        <c:scaling>
          <c:orientation val="minMax"/>
        </c:scaling>
        <c:axPos val="l"/>
        <c:majorGridlines/>
        <c:numFmt formatCode="0.00%" sourceLinked="1"/>
        <c:majorTickMark val="none"/>
        <c:tickLblPos val="nextTo"/>
        <c:spPr>
          <a:ln w="9525">
            <a:noFill/>
          </a:ln>
        </c:spPr>
        <c:txPr>
          <a:bodyPr/>
          <a:lstStyle/>
          <a:p>
            <a:pPr>
              <a:defRPr sz="800">
                <a:solidFill>
                  <a:sysClr val="windowText" lastClr="000000"/>
                </a:solidFill>
                <a:latin typeface="Arial Narrow" pitchFamily="34" charset="0"/>
              </a:defRPr>
            </a:pPr>
            <a:endParaRPr lang="en-US"/>
          </a:p>
        </c:txPr>
        <c:crossAx val="91232512"/>
        <c:crosses val="autoZero"/>
        <c:crossBetween val="between"/>
      </c:valAx>
      <c:spPr>
        <a:noFill/>
        <a:ln w="25400">
          <a:noFill/>
        </a:ln>
      </c:spPr>
    </c:plotArea>
    <c:legend>
      <c:legendPos val="b"/>
      <c:layout/>
      <c:txPr>
        <a:bodyPr/>
        <a:lstStyle/>
        <a:p>
          <a:pPr>
            <a:defRPr>
              <a:solidFill>
                <a:sysClr val="windowText" lastClr="000000"/>
              </a:solidFill>
            </a:defRPr>
          </a:pPr>
          <a:endParaRPr lang="en-US"/>
        </a:p>
      </c:txPr>
    </c:legend>
    <c:plotVisOnly val="1"/>
    <c:dispBlanksAs val="gap"/>
  </c:chart>
  <c:spPr>
    <a:noFill/>
  </c:spPr>
  <c:printSettings>
    <c:headerFooter/>
    <c:pageMargins b="0.75000000000000155" l="0.70000000000000062" r="0.70000000000000062" t="0.7500000000000015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image" Target="../media/image1.jpeg"/><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xdr:col>
      <xdr:colOff>304800</xdr:colOff>
      <xdr:row>11</xdr:row>
      <xdr:rowOff>104775</xdr:rowOff>
    </xdr:from>
    <xdr:to>
      <xdr:col>9</xdr:col>
      <xdr:colOff>304800</xdr:colOff>
      <xdr:row>21</xdr:row>
      <xdr:rowOff>133350</xdr:rowOff>
    </xdr:to>
    <xdr:graphicFrame macro="">
      <xdr:nvGraphicFramePr>
        <xdr:cNvPr id="2060" name="Gráfico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52</xdr:row>
      <xdr:rowOff>9525</xdr:rowOff>
    </xdr:from>
    <xdr:to>
      <xdr:col>1</xdr:col>
      <xdr:colOff>133350</xdr:colOff>
      <xdr:row>56</xdr:row>
      <xdr:rowOff>104775</xdr:rowOff>
    </xdr:to>
    <xdr:pic>
      <xdr:nvPicPr>
        <xdr:cNvPr id="1105" name="Imagem 29" descr="ATM-LOGO-Cor azul c fundo branco"/>
        <xdr:cNvPicPr>
          <a:picLocks noChangeAspect="1" noChangeArrowheads="1"/>
        </xdr:cNvPicPr>
      </xdr:nvPicPr>
      <xdr:blipFill>
        <a:blip xmlns:r="http://schemas.openxmlformats.org/officeDocument/2006/relationships" r:embed="rId1" cstate="print"/>
        <a:srcRect/>
        <a:stretch>
          <a:fillRect/>
        </a:stretch>
      </xdr:blipFill>
      <xdr:spPr bwMode="auto">
        <a:xfrm>
          <a:off x="28575" y="9420225"/>
          <a:ext cx="714375" cy="857250"/>
        </a:xfrm>
        <a:prstGeom prst="rect">
          <a:avLst/>
        </a:prstGeom>
        <a:noFill/>
        <a:ln w="9525">
          <a:noFill/>
          <a:miter lim="800000"/>
          <a:headEnd/>
          <a:tailEnd/>
        </a:ln>
      </xdr:spPr>
    </xdr:pic>
    <xdr:clientData/>
  </xdr:twoCellAnchor>
  <xdr:twoCellAnchor>
    <xdr:from>
      <xdr:col>0</xdr:col>
      <xdr:colOff>47625</xdr:colOff>
      <xdr:row>72</xdr:row>
      <xdr:rowOff>47625</xdr:rowOff>
    </xdr:from>
    <xdr:to>
      <xdr:col>13</xdr:col>
      <xdr:colOff>542925</xdr:colOff>
      <xdr:row>96</xdr:row>
      <xdr:rowOff>9525</xdr:rowOff>
    </xdr:to>
    <xdr:graphicFrame macro="">
      <xdr:nvGraphicFramePr>
        <xdr:cNvPr id="1106" name="Gráfico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28575</xdr:colOff>
      <xdr:row>102</xdr:row>
      <xdr:rowOff>9525</xdr:rowOff>
    </xdr:from>
    <xdr:to>
      <xdr:col>1</xdr:col>
      <xdr:colOff>133350</xdr:colOff>
      <xdr:row>106</xdr:row>
      <xdr:rowOff>104775</xdr:rowOff>
    </xdr:to>
    <xdr:pic>
      <xdr:nvPicPr>
        <xdr:cNvPr id="1107" name="Imagem 29" descr="ATM-LOGO-Cor azul c fundo branco"/>
        <xdr:cNvPicPr>
          <a:picLocks noChangeAspect="1" noChangeArrowheads="1"/>
        </xdr:cNvPicPr>
      </xdr:nvPicPr>
      <xdr:blipFill>
        <a:blip xmlns:r="http://schemas.openxmlformats.org/officeDocument/2006/relationships" r:embed="rId1" cstate="print"/>
        <a:srcRect/>
        <a:stretch>
          <a:fillRect/>
        </a:stretch>
      </xdr:blipFill>
      <xdr:spPr bwMode="auto">
        <a:xfrm>
          <a:off x="28575" y="19021425"/>
          <a:ext cx="714375" cy="857250"/>
        </a:xfrm>
        <a:prstGeom prst="rect">
          <a:avLst/>
        </a:prstGeom>
        <a:noFill/>
        <a:ln w="9525">
          <a:noFill/>
          <a:miter lim="800000"/>
          <a:headEnd/>
          <a:tailEnd/>
        </a:ln>
      </xdr:spPr>
    </xdr:pic>
    <xdr:clientData/>
  </xdr:twoCellAnchor>
  <xdr:twoCellAnchor>
    <xdr:from>
      <xdr:col>0</xdr:col>
      <xdr:colOff>438150</xdr:colOff>
      <xdr:row>116</xdr:row>
      <xdr:rowOff>133350</xdr:rowOff>
    </xdr:from>
    <xdr:to>
      <xdr:col>13</xdr:col>
      <xdr:colOff>266700</xdr:colOff>
      <xdr:row>127</xdr:row>
      <xdr:rowOff>114300</xdr:rowOff>
    </xdr:to>
    <xdr:graphicFrame macro="">
      <xdr:nvGraphicFramePr>
        <xdr:cNvPr id="1108" name="Gráfico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28575</xdr:colOff>
      <xdr:row>152</xdr:row>
      <xdr:rowOff>9525</xdr:rowOff>
    </xdr:from>
    <xdr:to>
      <xdr:col>1</xdr:col>
      <xdr:colOff>133350</xdr:colOff>
      <xdr:row>156</xdr:row>
      <xdr:rowOff>104775</xdr:rowOff>
    </xdr:to>
    <xdr:pic>
      <xdr:nvPicPr>
        <xdr:cNvPr id="1109" name="Imagem 29" descr="ATM-LOGO-Cor azul c fundo branco"/>
        <xdr:cNvPicPr>
          <a:picLocks noChangeAspect="1" noChangeArrowheads="1"/>
        </xdr:cNvPicPr>
      </xdr:nvPicPr>
      <xdr:blipFill>
        <a:blip xmlns:r="http://schemas.openxmlformats.org/officeDocument/2006/relationships" r:embed="rId1" cstate="print"/>
        <a:srcRect/>
        <a:stretch>
          <a:fillRect/>
        </a:stretch>
      </xdr:blipFill>
      <xdr:spPr bwMode="auto">
        <a:xfrm>
          <a:off x="28575" y="28603575"/>
          <a:ext cx="714375" cy="857250"/>
        </a:xfrm>
        <a:prstGeom prst="rect">
          <a:avLst/>
        </a:prstGeom>
        <a:noFill/>
        <a:ln w="9525">
          <a:noFill/>
          <a:miter lim="800000"/>
          <a:headEnd/>
          <a:tailEnd/>
        </a:ln>
      </xdr:spPr>
    </xdr:pic>
    <xdr:clientData/>
  </xdr:twoCellAnchor>
  <xdr:twoCellAnchor>
    <xdr:from>
      <xdr:col>0</xdr:col>
      <xdr:colOff>28575</xdr:colOff>
      <xdr:row>201</xdr:row>
      <xdr:rowOff>9525</xdr:rowOff>
    </xdr:from>
    <xdr:to>
      <xdr:col>1</xdr:col>
      <xdr:colOff>133350</xdr:colOff>
      <xdr:row>205</xdr:row>
      <xdr:rowOff>104775</xdr:rowOff>
    </xdr:to>
    <xdr:pic>
      <xdr:nvPicPr>
        <xdr:cNvPr id="1110" name="Imagem 29" descr="ATM-LOGO-Cor azul c fundo branco"/>
        <xdr:cNvPicPr>
          <a:picLocks noChangeAspect="1" noChangeArrowheads="1"/>
        </xdr:cNvPicPr>
      </xdr:nvPicPr>
      <xdr:blipFill>
        <a:blip xmlns:r="http://schemas.openxmlformats.org/officeDocument/2006/relationships" r:embed="rId1" cstate="print"/>
        <a:srcRect/>
        <a:stretch>
          <a:fillRect/>
        </a:stretch>
      </xdr:blipFill>
      <xdr:spPr bwMode="auto">
        <a:xfrm>
          <a:off x="28575" y="38042850"/>
          <a:ext cx="714375" cy="857250"/>
        </a:xfrm>
        <a:prstGeom prst="rect">
          <a:avLst/>
        </a:prstGeom>
        <a:noFill/>
        <a:ln w="9525">
          <a:noFill/>
          <a:miter lim="800000"/>
          <a:headEnd/>
          <a:tailEnd/>
        </a:ln>
      </xdr:spPr>
    </xdr:pic>
    <xdr:clientData/>
  </xdr:twoCellAnchor>
  <xdr:twoCellAnchor>
    <xdr:from>
      <xdr:col>0</xdr:col>
      <xdr:colOff>28575</xdr:colOff>
      <xdr:row>251</xdr:row>
      <xdr:rowOff>9525</xdr:rowOff>
    </xdr:from>
    <xdr:to>
      <xdr:col>1</xdr:col>
      <xdr:colOff>133350</xdr:colOff>
      <xdr:row>255</xdr:row>
      <xdr:rowOff>104775</xdr:rowOff>
    </xdr:to>
    <xdr:pic>
      <xdr:nvPicPr>
        <xdr:cNvPr id="1111" name="Imagem 29" descr="ATM-LOGO-Cor azul c fundo branco"/>
        <xdr:cNvPicPr>
          <a:picLocks noChangeAspect="1" noChangeArrowheads="1"/>
        </xdr:cNvPicPr>
      </xdr:nvPicPr>
      <xdr:blipFill>
        <a:blip xmlns:r="http://schemas.openxmlformats.org/officeDocument/2006/relationships" r:embed="rId1" cstate="print"/>
        <a:srcRect/>
        <a:stretch>
          <a:fillRect/>
        </a:stretch>
      </xdr:blipFill>
      <xdr:spPr bwMode="auto">
        <a:xfrm>
          <a:off x="28575" y="47634525"/>
          <a:ext cx="714375" cy="857250"/>
        </a:xfrm>
        <a:prstGeom prst="rect">
          <a:avLst/>
        </a:prstGeom>
        <a:noFill/>
        <a:ln w="9525">
          <a:noFill/>
          <a:miter lim="800000"/>
          <a:headEnd/>
          <a:tailEnd/>
        </a:ln>
      </xdr:spPr>
    </xdr:pic>
    <xdr:clientData/>
  </xdr:twoCellAnchor>
  <xdr:twoCellAnchor>
    <xdr:from>
      <xdr:col>0</xdr:col>
      <xdr:colOff>438150</xdr:colOff>
      <xdr:row>132</xdr:row>
      <xdr:rowOff>133350</xdr:rowOff>
    </xdr:from>
    <xdr:to>
      <xdr:col>13</xdr:col>
      <xdr:colOff>266700</xdr:colOff>
      <xdr:row>143</xdr:row>
      <xdr:rowOff>114300</xdr:rowOff>
    </xdr:to>
    <xdr:graphicFrame macro="">
      <xdr:nvGraphicFramePr>
        <xdr:cNvPr id="1112" name="Gráfico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AK80"/>
  <sheetViews>
    <sheetView showGridLines="0" showRowColHeaders="0" workbookViewId="0">
      <selection activeCell="AI5" sqref="AI5"/>
    </sheetView>
  </sheetViews>
  <sheetFormatPr defaultRowHeight="15"/>
  <cols>
    <col min="1" max="1" width="3" style="79" customWidth="1"/>
    <col min="2" max="2" width="37.140625" style="79" hidden="1" customWidth="1"/>
    <col min="3" max="3" width="2" style="79" hidden="1" customWidth="1"/>
    <col min="4" max="4" width="22.7109375" style="79" hidden="1" customWidth="1"/>
    <col min="5" max="5" width="21.5703125" style="79" hidden="1" customWidth="1"/>
    <col min="6" max="6" width="20.85546875" style="79" hidden="1" customWidth="1"/>
    <col min="7" max="7" width="11.85546875" style="79" hidden="1" customWidth="1"/>
    <col min="8" max="8" width="15" style="79" hidden="1" customWidth="1"/>
    <col min="9" max="9" width="9.140625" style="79" hidden="1" customWidth="1"/>
    <col min="10" max="10" width="7.85546875" style="79" hidden="1" customWidth="1"/>
    <col min="11" max="11" width="11.85546875" style="79" hidden="1" customWidth="1"/>
    <col min="12" max="18" width="10.7109375" style="79" hidden="1" customWidth="1"/>
    <col min="19" max="19" width="9.140625" style="79" hidden="1" customWidth="1"/>
    <col min="20" max="16384" width="9.140625" style="79"/>
  </cols>
  <sheetData>
    <row r="1" spans="2:37" ht="15.75" customHeight="1">
      <c r="B1" s="75"/>
      <c r="C1" s="76"/>
      <c r="D1" s="77"/>
      <c r="E1" s="77"/>
      <c r="F1" s="77"/>
      <c r="G1" s="77"/>
      <c r="H1" s="77"/>
      <c r="I1" s="78"/>
      <c r="T1" s="80"/>
      <c r="U1" s="80"/>
      <c r="V1" s="80"/>
      <c r="W1" s="80"/>
      <c r="X1" s="80"/>
      <c r="Y1" s="80"/>
      <c r="Z1" s="80"/>
      <c r="AA1" s="80"/>
      <c r="AB1" s="80"/>
      <c r="AC1" s="80"/>
      <c r="AD1" s="80"/>
      <c r="AE1" s="80"/>
      <c r="AF1" s="80"/>
      <c r="AG1" s="80"/>
      <c r="AH1" s="80"/>
      <c r="AI1" s="80"/>
      <c r="AJ1" s="80"/>
      <c r="AK1" s="80"/>
    </row>
    <row r="2" spans="2:37" ht="15.75" customHeight="1">
      <c r="B2" s="75"/>
      <c r="C2" s="76"/>
      <c r="D2" s="77"/>
      <c r="E2" s="77"/>
      <c r="F2" s="77"/>
      <c r="G2" s="77"/>
      <c r="H2" s="77"/>
      <c r="I2" s="78"/>
      <c r="T2" s="74"/>
      <c r="U2" s="74"/>
      <c r="V2" s="74"/>
      <c r="W2" s="74"/>
      <c r="X2" s="74"/>
      <c r="Y2" s="74"/>
      <c r="Z2" s="74"/>
      <c r="AA2" s="74"/>
      <c r="AB2" s="74"/>
      <c r="AC2" s="74"/>
      <c r="AD2" s="74"/>
      <c r="AE2" s="74"/>
      <c r="AF2" s="74"/>
      <c r="AG2" s="74"/>
      <c r="AH2" s="74"/>
      <c r="AI2" s="74"/>
      <c r="AJ2" s="74"/>
      <c r="AK2" s="74"/>
    </row>
    <row r="3" spans="2:37" ht="55.5">
      <c r="B3" s="204" t="s">
        <v>2</v>
      </c>
      <c r="C3" s="204"/>
      <c r="D3" s="204"/>
      <c r="E3" s="204"/>
      <c r="F3" s="204"/>
      <c r="G3" s="204"/>
      <c r="H3" s="204"/>
      <c r="I3" s="204"/>
      <c r="J3" s="45"/>
      <c r="K3" s="204" t="s">
        <v>3</v>
      </c>
      <c r="L3" s="204"/>
      <c r="M3" s="204"/>
      <c r="N3" s="204"/>
      <c r="O3" s="204"/>
      <c r="P3" s="204"/>
      <c r="Q3" s="204"/>
      <c r="R3" s="204"/>
      <c r="T3" s="74"/>
      <c r="U3" s="74"/>
      <c r="V3" s="74"/>
      <c r="W3" s="74"/>
      <c r="X3" s="74"/>
      <c r="Y3" s="74"/>
      <c r="Z3" s="74"/>
      <c r="AA3" s="74"/>
      <c r="AB3" s="74"/>
      <c r="AC3" s="74"/>
      <c r="AD3" s="74"/>
      <c r="AE3" s="74"/>
      <c r="AF3" s="74"/>
      <c r="AG3" s="74"/>
      <c r="AH3" s="74"/>
      <c r="AI3" s="74"/>
      <c r="AJ3" s="74"/>
      <c r="AK3" s="74"/>
    </row>
    <row r="4" spans="2:37" ht="15.95" customHeight="1" thickBot="1">
      <c r="B4" s="19"/>
      <c r="C4" s="20"/>
      <c r="D4" s="21"/>
      <c r="E4" s="22"/>
      <c r="F4" s="22"/>
      <c r="G4" s="22"/>
      <c r="H4" s="22"/>
      <c r="I4" s="23"/>
      <c r="J4" s="45"/>
      <c r="K4" s="45"/>
      <c r="L4" s="45"/>
      <c r="M4" s="45"/>
      <c r="N4" s="45"/>
      <c r="O4" s="45"/>
      <c r="P4" s="45"/>
      <c r="Q4" s="45"/>
      <c r="R4" s="45"/>
      <c r="T4" s="80"/>
      <c r="U4" s="80"/>
      <c r="V4" s="80"/>
      <c r="W4" s="80"/>
      <c r="X4" s="80"/>
      <c r="Y4" s="80"/>
      <c r="Z4" s="80"/>
      <c r="AA4" s="80"/>
      <c r="AB4" s="80"/>
      <c r="AC4" s="80"/>
      <c r="AD4" s="80"/>
      <c r="AE4" s="80"/>
      <c r="AF4" s="80"/>
      <c r="AG4" s="80"/>
      <c r="AH4" s="80"/>
      <c r="AI4" s="80"/>
      <c r="AJ4" s="80"/>
      <c r="AK4" s="80"/>
    </row>
    <row r="5" spans="2:37" ht="15.95" customHeight="1" thickBot="1">
      <c r="B5" s="25" t="s">
        <v>34</v>
      </c>
      <c r="C5" s="26"/>
      <c r="D5" s="68" t="s">
        <v>113</v>
      </c>
      <c r="E5" s="69" t="s">
        <v>112</v>
      </c>
      <c r="F5" s="70" t="s">
        <v>111</v>
      </c>
      <c r="G5" s="71" t="s">
        <v>115</v>
      </c>
      <c r="H5" s="72" t="s">
        <v>116</v>
      </c>
      <c r="I5" s="23"/>
      <c r="J5" s="45"/>
      <c r="K5" s="46">
        <v>1</v>
      </c>
      <c r="L5" s="193" t="s">
        <v>65</v>
      </c>
      <c r="M5" s="193"/>
      <c r="N5" s="193"/>
      <c r="O5" s="193"/>
      <c r="P5" s="193"/>
      <c r="Q5" s="193"/>
      <c r="R5" s="193"/>
      <c r="T5" s="80"/>
      <c r="U5" s="80"/>
      <c r="V5" s="80"/>
      <c r="W5" s="80"/>
      <c r="X5" s="80"/>
      <c r="Y5" s="80"/>
      <c r="Z5" s="80"/>
      <c r="AA5" s="80"/>
      <c r="AB5" s="80"/>
      <c r="AC5" s="80"/>
      <c r="AD5" s="80"/>
      <c r="AE5" s="80"/>
      <c r="AF5" s="80"/>
      <c r="AG5" s="80"/>
      <c r="AH5" s="80"/>
      <c r="AI5" s="80"/>
      <c r="AJ5" s="80"/>
      <c r="AK5" s="80"/>
    </row>
    <row r="6" spans="2:37" ht="15.95" customHeight="1" thickBot="1">
      <c r="B6" s="25" t="s">
        <v>35</v>
      </c>
      <c r="C6" s="26"/>
      <c r="D6" s="68" t="s">
        <v>36</v>
      </c>
      <c r="E6" s="69" t="s">
        <v>37</v>
      </c>
      <c r="F6" s="70" t="s">
        <v>38</v>
      </c>
      <c r="G6" s="71" t="s">
        <v>39</v>
      </c>
      <c r="H6" s="72" t="s">
        <v>40</v>
      </c>
      <c r="I6" s="23"/>
      <c r="J6" s="45"/>
      <c r="K6" s="189">
        <f>IF('Calculator } ASSET ALLOCATOR'!L8:L8=BRAINOV!L6,0.11,IF('Calculator } ASSET ALLOCATOR'!L8:L8=BRAINOV!L7,0.33,IF('Calculator } ASSET ALLOCATOR'!L8:L8=BRAINOV!L8,0.67,IF('Calculator } ASSET ALLOCATOR'!L8:L8=+BRAINOV!L9,1,"E"))))</f>
        <v>0.33</v>
      </c>
      <c r="L6" s="188" t="s">
        <v>66</v>
      </c>
      <c r="M6" s="188"/>
      <c r="N6" s="188"/>
      <c r="O6" s="188"/>
      <c r="P6" s="188"/>
      <c r="Q6" s="188"/>
      <c r="R6" s="188"/>
      <c r="T6" s="80"/>
      <c r="U6" s="80"/>
      <c r="V6" s="80"/>
      <c r="W6" s="80"/>
      <c r="X6" s="80"/>
      <c r="Y6" s="80"/>
      <c r="Z6" s="80"/>
      <c r="AA6" s="80"/>
      <c r="AB6" s="80"/>
      <c r="AC6" s="80"/>
      <c r="AD6" s="80"/>
      <c r="AE6" s="80"/>
      <c r="AF6" s="80"/>
      <c r="AG6" s="80"/>
      <c r="AH6" s="80"/>
      <c r="AI6" s="80"/>
      <c r="AJ6" s="80"/>
      <c r="AK6" s="80"/>
    </row>
    <row r="7" spans="2:37" ht="15.95" customHeight="1" thickBot="1">
      <c r="B7" s="27" t="s">
        <v>10</v>
      </c>
      <c r="C7" s="26"/>
      <c r="D7" s="28"/>
      <c r="E7" s="28"/>
      <c r="F7" s="28"/>
      <c r="G7" s="28"/>
      <c r="H7" s="28"/>
      <c r="I7" s="23"/>
      <c r="J7" s="45"/>
      <c r="K7" s="190"/>
      <c r="L7" s="188" t="s">
        <v>67</v>
      </c>
      <c r="M7" s="188"/>
      <c r="N7" s="188"/>
      <c r="O7" s="188"/>
      <c r="P7" s="188"/>
      <c r="Q7" s="188"/>
      <c r="R7" s="188"/>
      <c r="T7" s="80"/>
      <c r="U7" s="80"/>
      <c r="V7" s="80"/>
      <c r="W7" s="80"/>
      <c r="X7" s="80"/>
      <c r="Y7" s="80"/>
      <c r="Z7" s="80"/>
      <c r="AA7" s="80"/>
      <c r="AB7" s="80"/>
      <c r="AC7" s="80"/>
      <c r="AD7" s="80"/>
      <c r="AE7" s="80"/>
      <c r="AF7" s="80"/>
      <c r="AG7" s="80"/>
      <c r="AH7" s="80"/>
      <c r="AI7" s="80"/>
      <c r="AJ7" s="80"/>
      <c r="AK7" s="80"/>
    </row>
    <row r="8" spans="2:37" ht="15.95" customHeight="1" thickBot="1">
      <c r="B8" s="49" t="s">
        <v>117</v>
      </c>
      <c r="C8" s="130" t="str">
        <f>IF(B8='Calculator } ASSET ALLOCATOR'!$F$9,"X"," ")</f>
        <v xml:space="preserve"> </v>
      </c>
      <c r="D8" s="38">
        <v>10</v>
      </c>
      <c r="E8" s="37">
        <v>20</v>
      </c>
      <c r="F8" s="38"/>
      <c r="G8" s="38"/>
      <c r="H8" s="38"/>
      <c r="I8" s="23">
        <f>SUM(D8:H8)</f>
        <v>30</v>
      </c>
      <c r="J8" s="45"/>
      <c r="K8" s="190"/>
      <c r="L8" s="188" t="s">
        <v>68</v>
      </c>
      <c r="M8" s="188"/>
      <c r="N8" s="188"/>
      <c r="O8" s="188"/>
      <c r="P8" s="188"/>
      <c r="Q8" s="188"/>
      <c r="R8" s="188"/>
      <c r="T8" s="205" t="s">
        <v>173</v>
      </c>
      <c r="U8" s="205"/>
      <c r="V8" s="205"/>
      <c r="W8" s="205"/>
      <c r="X8" s="205"/>
      <c r="Y8" s="205"/>
      <c r="Z8" s="205"/>
      <c r="AA8" s="205"/>
      <c r="AB8" s="205"/>
      <c r="AC8" s="205"/>
      <c r="AD8" s="205"/>
      <c r="AE8" s="205"/>
      <c r="AF8" s="205"/>
      <c r="AG8" s="205"/>
      <c r="AH8" s="205"/>
      <c r="AI8" s="205"/>
      <c r="AJ8" s="205"/>
      <c r="AK8" s="205"/>
    </row>
    <row r="9" spans="2:37" ht="15.95" customHeight="1" thickBot="1">
      <c r="B9" s="50" t="s">
        <v>118</v>
      </c>
      <c r="C9" s="130" t="str">
        <f>IF(B9='Calculator } ASSET ALLOCATOR'!$F$9,"X"," ")</f>
        <v xml:space="preserve"> </v>
      </c>
      <c r="D9" s="39">
        <v>7.5</v>
      </c>
      <c r="E9" s="43">
        <v>17.5</v>
      </c>
      <c r="F9" s="44">
        <v>2.5</v>
      </c>
      <c r="G9" s="44">
        <v>2.5</v>
      </c>
      <c r="H9" s="44"/>
      <c r="I9" s="23">
        <f>SUM(D9:H9)</f>
        <v>30</v>
      </c>
      <c r="J9" s="45"/>
      <c r="K9" s="195"/>
      <c r="L9" s="188" t="s">
        <v>69</v>
      </c>
      <c r="M9" s="188"/>
      <c r="N9" s="188"/>
      <c r="O9" s="188"/>
      <c r="P9" s="188"/>
      <c r="Q9" s="188"/>
      <c r="R9" s="188"/>
      <c r="T9" s="205"/>
      <c r="U9" s="205"/>
      <c r="V9" s="205"/>
      <c r="W9" s="205"/>
      <c r="X9" s="205"/>
      <c r="Y9" s="205"/>
      <c r="Z9" s="205"/>
      <c r="AA9" s="205"/>
      <c r="AB9" s="205"/>
      <c r="AC9" s="205"/>
      <c r="AD9" s="205"/>
      <c r="AE9" s="205"/>
      <c r="AF9" s="205"/>
      <c r="AG9" s="205"/>
      <c r="AH9" s="205"/>
      <c r="AI9" s="205"/>
      <c r="AJ9" s="205"/>
      <c r="AK9" s="205"/>
    </row>
    <row r="10" spans="2:37" ht="15.95" customHeight="1" thickBot="1">
      <c r="B10" s="51" t="s">
        <v>119</v>
      </c>
      <c r="C10" s="130" t="str">
        <f>IF(B10='Calculator } ASSET ALLOCATOR'!$F$9,"X"," ")</f>
        <v>X</v>
      </c>
      <c r="D10" s="54">
        <v>0.7</v>
      </c>
      <c r="E10" s="55">
        <v>8.6</v>
      </c>
      <c r="F10" s="54">
        <v>7.5</v>
      </c>
      <c r="G10" s="54">
        <v>8.1</v>
      </c>
      <c r="H10" s="54">
        <v>5.0999999999999996</v>
      </c>
      <c r="I10" s="23">
        <f>SUM(D10:H10)</f>
        <v>30</v>
      </c>
      <c r="J10" s="45"/>
      <c r="K10" s="47"/>
      <c r="L10" s="48"/>
      <c r="M10" s="48"/>
      <c r="N10" s="48"/>
      <c r="O10" s="48"/>
      <c r="P10" s="48"/>
      <c r="Q10" s="48"/>
      <c r="R10" s="48"/>
      <c r="T10" s="206" t="s">
        <v>174</v>
      </c>
      <c r="U10" s="206"/>
      <c r="V10" s="206"/>
      <c r="W10" s="206"/>
      <c r="X10" s="206"/>
      <c r="Y10" s="206"/>
      <c r="Z10" s="206"/>
      <c r="AA10" s="206"/>
      <c r="AB10" s="206"/>
      <c r="AC10" s="206"/>
      <c r="AD10" s="206"/>
      <c r="AE10" s="206"/>
      <c r="AF10" s="206"/>
      <c r="AG10" s="206"/>
      <c r="AH10" s="206"/>
      <c r="AI10" s="206"/>
      <c r="AJ10" s="206"/>
      <c r="AK10" s="206"/>
    </row>
    <row r="11" spans="2:37" ht="15.95" customHeight="1" thickBot="1">
      <c r="B11" s="53" t="s">
        <v>120</v>
      </c>
      <c r="C11" s="130" t="str">
        <f>IF(B11='Calculator } ASSET ALLOCATOR'!$F$9,"X"," ")</f>
        <v xml:space="preserve"> </v>
      </c>
      <c r="D11" s="42">
        <v>0.45</v>
      </c>
      <c r="E11" s="39">
        <v>4</v>
      </c>
      <c r="F11" s="42">
        <v>9.5500000000000007</v>
      </c>
      <c r="G11" s="42">
        <v>10</v>
      </c>
      <c r="H11" s="42">
        <v>6</v>
      </c>
      <c r="I11" s="23">
        <f>SUM(D11:H11)</f>
        <v>30</v>
      </c>
      <c r="J11" s="45"/>
      <c r="K11" s="46">
        <v>2</v>
      </c>
      <c r="L11" s="193" t="s">
        <v>90</v>
      </c>
      <c r="M11" s="193"/>
      <c r="N11" s="193"/>
      <c r="O11" s="193"/>
      <c r="P11" s="193"/>
      <c r="Q11" s="193"/>
      <c r="R11" s="193"/>
      <c r="T11" s="206"/>
      <c r="U11" s="206"/>
      <c r="V11" s="206"/>
      <c r="W11" s="206"/>
      <c r="X11" s="206"/>
      <c r="Y11" s="206"/>
      <c r="Z11" s="206"/>
      <c r="AA11" s="206"/>
      <c r="AB11" s="206"/>
      <c r="AC11" s="206"/>
      <c r="AD11" s="206"/>
      <c r="AE11" s="206"/>
      <c r="AF11" s="206"/>
      <c r="AG11" s="206"/>
      <c r="AH11" s="206"/>
      <c r="AI11" s="206"/>
      <c r="AJ11" s="206"/>
      <c r="AK11" s="206"/>
    </row>
    <row r="12" spans="2:37" ht="15.95" customHeight="1" thickBot="1">
      <c r="B12" s="52" t="s">
        <v>121</v>
      </c>
      <c r="C12" s="130" t="str">
        <f>IF(B12='Calculator } ASSET ALLOCATOR'!$F$9,"X"," ")</f>
        <v xml:space="preserve"> </v>
      </c>
      <c r="D12" s="30"/>
      <c r="E12" s="41"/>
      <c r="F12" s="30">
        <v>5</v>
      </c>
      <c r="G12" s="30">
        <v>12.5</v>
      </c>
      <c r="H12" s="30">
        <v>12.5</v>
      </c>
      <c r="I12" s="23">
        <f>SUM(D12:H12)</f>
        <v>30</v>
      </c>
      <c r="J12" s="45"/>
      <c r="K12" s="189">
        <f>IF('Calculator } ASSET ALLOCATOR'!L11=BRAINOV!L12,0.11,IF('Calculator } ASSET ALLOCATOR'!L11=BRAINOV!L13,0.33,IF('Calculator } ASSET ALLOCATOR'!L11=BRAINOV!L14,0.67,IF('Calculator } ASSET ALLOCATOR'!L11=+BRAINOV!L15,1,"E"))))</f>
        <v>0.67</v>
      </c>
      <c r="L12" s="188" t="s">
        <v>91</v>
      </c>
      <c r="M12" s="188"/>
      <c r="N12" s="188"/>
      <c r="O12" s="188"/>
      <c r="P12" s="188"/>
      <c r="Q12" s="188"/>
      <c r="R12" s="188"/>
      <c r="T12" s="206"/>
      <c r="U12" s="206"/>
      <c r="V12" s="206"/>
      <c r="W12" s="206"/>
      <c r="X12" s="206"/>
      <c r="Y12" s="206"/>
      <c r="Z12" s="206"/>
      <c r="AA12" s="206"/>
      <c r="AB12" s="206"/>
      <c r="AC12" s="206"/>
      <c r="AD12" s="206"/>
      <c r="AE12" s="206"/>
      <c r="AF12" s="206"/>
      <c r="AG12" s="206"/>
      <c r="AH12" s="206"/>
      <c r="AI12" s="206"/>
      <c r="AJ12" s="206"/>
      <c r="AK12" s="206"/>
    </row>
    <row r="13" spans="2:37" ht="15.95" customHeight="1" thickBot="1">
      <c r="B13" s="24"/>
      <c r="C13" s="24"/>
      <c r="D13" s="24"/>
      <c r="E13" s="24"/>
      <c r="F13" s="24"/>
      <c r="G13" s="24"/>
      <c r="H13" s="24"/>
      <c r="I13" s="24"/>
      <c r="J13" s="45"/>
      <c r="K13" s="190"/>
      <c r="L13" s="188" t="s">
        <v>92</v>
      </c>
      <c r="M13" s="188"/>
      <c r="N13" s="188"/>
      <c r="O13" s="188"/>
      <c r="P13" s="188"/>
      <c r="Q13" s="188"/>
      <c r="R13" s="188"/>
      <c r="T13" s="206"/>
      <c r="U13" s="206"/>
      <c r="V13" s="206"/>
      <c r="W13" s="206"/>
      <c r="X13" s="206"/>
      <c r="Y13" s="206"/>
      <c r="Z13" s="206"/>
      <c r="AA13" s="206"/>
      <c r="AB13" s="206"/>
      <c r="AC13" s="206"/>
      <c r="AD13" s="206"/>
      <c r="AE13" s="206"/>
      <c r="AF13" s="206"/>
      <c r="AG13" s="206"/>
      <c r="AH13" s="206"/>
      <c r="AI13" s="206"/>
      <c r="AJ13" s="206"/>
      <c r="AK13" s="206"/>
    </row>
    <row r="14" spans="2:37" ht="15.95" customHeight="1" thickBot="1">
      <c r="B14" s="27" t="s">
        <v>30</v>
      </c>
      <c r="C14" s="26"/>
      <c r="D14" s="28"/>
      <c r="E14" s="28"/>
      <c r="F14" s="28"/>
      <c r="G14" s="28"/>
      <c r="H14" s="28"/>
      <c r="I14" s="23"/>
      <c r="J14" s="45"/>
      <c r="K14" s="190"/>
      <c r="L14" s="203" t="s">
        <v>94</v>
      </c>
      <c r="M14" s="188"/>
      <c r="N14" s="188"/>
      <c r="O14" s="188"/>
      <c r="P14" s="188"/>
      <c r="Q14" s="188"/>
      <c r="R14" s="188"/>
      <c r="T14" s="206"/>
      <c r="U14" s="206"/>
      <c r="V14" s="206"/>
      <c r="W14" s="206"/>
      <c r="X14" s="206"/>
      <c r="Y14" s="206"/>
      <c r="Z14" s="206"/>
      <c r="AA14" s="206"/>
      <c r="AB14" s="206"/>
      <c r="AC14" s="206"/>
      <c r="AD14" s="206"/>
      <c r="AE14" s="206"/>
      <c r="AF14" s="206"/>
      <c r="AG14" s="206"/>
      <c r="AH14" s="206"/>
      <c r="AI14" s="206"/>
      <c r="AJ14" s="206"/>
      <c r="AK14" s="206"/>
    </row>
    <row r="15" spans="2:37" ht="15.95" customHeight="1" thickBot="1">
      <c r="B15" s="49" t="s">
        <v>11</v>
      </c>
      <c r="C15" s="130" t="str">
        <f>IF('Calculator } ASSET ALLOCATOR'!E6&lt;=3%,"X","")</f>
        <v>X</v>
      </c>
      <c r="D15" s="37"/>
      <c r="E15" s="37">
        <v>6.75</v>
      </c>
      <c r="F15" s="38">
        <v>6.5</v>
      </c>
      <c r="G15" s="38">
        <v>7.25</v>
      </c>
      <c r="H15" s="38">
        <v>4.5</v>
      </c>
      <c r="I15" s="23">
        <f>SUM(D15:H15)</f>
        <v>25</v>
      </c>
      <c r="J15" s="45"/>
      <c r="K15" s="195"/>
      <c r="L15" s="203" t="s">
        <v>93</v>
      </c>
      <c r="M15" s="188"/>
      <c r="N15" s="188"/>
      <c r="O15" s="188"/>
      <c r="P15" s="188"/>
      <c r="Q15" s="188"/>
      <c r="R15" s="188"/>
      <c r="T15" s="206"/>
      <c r="U15" s="206"/>
      <c r="V15" s="206"/>
      <c r="W15" s="206"/>
      <c r="X15" s="206"/>
      <c r="Y15" s="206"/>
      <c r="Z15" s="206"/>
      <c r="AA15" s="206"/>
      <c r="AB15" s="206"/>
      <c r="AC15" s="206"/>
      <c r="AD15" s="206"/>
      <c r="AE15" s="206"/>
      <c r="AF15" s="206"/>
      <c r="AG15" s="206"/>
      <c r="AH15" s="206"/>
      <c r="AI15" s="206"/>
      <c r="AJ15" s="206"/>
      <c r="AK15" s="206"/>
    </row>
    <row r="16" spans="2:37" ht="15.95" customHeight="1" thickBot="1">
      <c r="B16" s="51" t="s">
        <v>13</v>
      </c>
      <c r="C16" s="130" t="str">
        <f>IF(C15="", IF(C17="","X",""),"")</f>
        <v/>
      </c>
      <c r="D16" s="55">
        <v>1</v>
      </c>
      <c r="E16" s="55">
        <v>6.75</v>
      </c>
      <c r="F16" s="54">
        <v>6.25</v>
      </c>
      <c r="G16" s="54">
        <v>6.75</v>
      </c>
      <c r="H16" s="54">
        <v>4.25</v>
      </c>
      <c r="I16" s="23">
        <f>SUM(D16:H16)</f>
        <v>25</v>
      </c>
      <c r="J16" s="45"/>
      <c r="K16" s="47"/>
      <c r="L16" s="48"/>
      <c r="M16" s="48"/>
      <c r="N16" s="48"/>
      <c r="O16" s="48"/>
      <c r="P16" s="48"/>
      <c r="Q16" s="48"/>
      <c r="R16" s="48"/>
      <c r="T16" s="80"/>
      <c r="U16" s="80"/>
      <c r="V16" s="80"/>
      <c r="W16" s="80"/>
      <c r="X16" s="80"/>
      <c r="Y16" s="80"/>
      <c r="Z16" s="80"/>
      <c r="AA16" s="80"/>
      <c r="AB16" s="80"/>
      <c r="AC16" s="80"/>
      <c r="AD16" s="80"/>
      <c r="AE16" s="80"/>
      <c r="AF16" s="80"/>
      <c r="AG16" s="80"/>
      <c r="AH16" s="80"/>
      <c r="AI16" s="80"/>
      <c r="AJ16" s="80"/>
      <c r="AK16" s="80"/>
    </row>
    <row r="17" spans="2:37" ht="15.95" customHeight="1" thickBot="1">
      <c r="B17" s="52" t="s">
        <v>12</v>
      </c>
      <c r="C17" s="130" t="str">
        <f>IF('Calculator } ASSET ALLOCATOR'!E6&gt;=5%,"X","")</f>
        <v/>
      </c>
      <c r="D17" s="30">
        <v>2.5</v>
      </c>
      <c r="E17" s="41">
        <v>12.5</v>
      </c>
      <c r="F17" s="30"/>
      <c r="G17" s="30">
        <v>5</v>
      </c>
      <c r="H17" s="30">
        <v>5</v>
      </c>
      <c r="I17" s="23">
        <f>SUM(D17:H17)</f>
        <v>25</v>
      </c>
      <c r="J17" s="45"/>
      <c r="K17" s="46">
        <v>3</v>
      </c>
      <c r="L17" s="193" t="s">
        <v>80</v>
      </c>
      <c r="M17" s="193"/>
      <c r="N17" s="193"/>
      <c r="O17" s="193"/>
      <c r="P17" s="193"/>
      <c r="Q17" s="193"/>
      <c r="R17" s="193"/>
      <c r="T17" s="80"/>
      <c r="U17" s="80"/>
      <c r="V17" s="80"/>
      <c r="W17" s="80"/>
      <c r="X17" s="80"/>
      <c r="Y17" s="80"/>
      <c r="Z17" s="80"/>
      <c r="AA17" s="80"/>
      <c r="AB17" s="80"/>
      <c r="AC17" s="80"/>
      <c r="AD17" s="80"/>
      <c r="AE17" s="80"/>
      <c r="AF17" s="80"/>
      <c r="AG17" s="80"/>
      <c r="AH17" s="80"/>
      <c r="AI17" s="80"/>
      <c r="AJ17" s="80"/>
      <c r="AK17" s="80"/>
    </row>
    <row r="18" spans="2:37" ht="15.95" customHeight="1" thickBot="1">
      <c r="B18" s="24"/>
      <c r="C18" s="24"/>
      <c r="D18" s="24"/>
      <c r="E18" s="24"/>
      <c r="F18" s="24"/>
      <c r="G18" s="24"/>
      <c r="H18" s="24"/>
      <c r="I18" s="24"/>
      <c r="J18" s="45"/>
      <c r="K18" s="189">
        <f>IF('Calculator } ASSET ALLOCATOR'!L14=BRAINOV!L18,0.11,IF('Calculator } ASSET ALLOCATOR'!L14=BRAINOV!L19,0.33,IF('Calculator } ASSET ALLOCATOR'!L14=BRAINOV!L20,0.67,IF('Calculator } ASSET ALLOCATOR'!L14=+BRAINOV!L21,1,"E"))))</f>
        <v>0.33</v>
      </c>
      <c r="L18" s="194" t="s">
        <v>88</v>
      </c>
      <c r="M18" s="194"/>
      <c r="N18" s="194"/>
      <c r="O18" s="194"/>
      <c r="P18" s="194"/>
      <c r="Q18" s="194"/>
      <c r="R18" s="194"/>
      <c r="T18" s="207" t="s">
        <v>55</v>
      </c>
      <c r="U18" s="207"/>
      <c r="V18" s="207"/>
      <c r="W18" s="207"/>
      <c r="X18" s="207"/>
      <c r="Y18" s="207"/>
      <c r="Z18" s="207"/>
      <c r="AA18" s="207"/>
      <c r="AB18" s="207"/>
      <c r="AC18" s="207"/>
      <c r="AD18" s="207"/>
      <c r="AE18" s="207"/>
      <c r="AF18" s="207"/>
      <c r="AG18" s="207"/>
      <c r="AH18" s="207"/>
      <c r="AI18" s="207"/>
      <c r="AJ18" s="207"/>
      <c r="AK18" s="207"/>
    </row>
    <row r="19" spans="2:37" ht="15.95" customHeight="1" thickBot="1">
      <c r="B19" s="27" t="s">
        <v>29</v>
      </c>
      <c r="C19" s="26"/>
      <c r="D19" s="28"/>
      <c r="E19" s="22"/>
      <c r="F19" s="28"/>
      <c r="G19" s="28"/>
      <c r="H19" s="28"/>
      <c r="I19" s="23"/>
      <c r="J19" s="45"/>
      <c r="K19" s="190"/>
      <c r="L19" s="188" t="s">
        <v>81</v>
      </c>
      <c r="M19" s="188"/>
      <c r="N19" s="188"/>
      <c r="O19" s="188"/>
      <c r="P19" s="188"/>
      <c r="Q19" s="188"/>
      <c r="R19" s="188"/>
      <c r="T19" s="207"/>
      <c r="U19" s="207"/>
      <c r="V19" s="207"/>
      <c r="W19" s="207"/>
      <c r="X19" s="207"/>
      <c r="Y19" s="207"/>
      <c r="Z19" s="207"/>
      <c r="AA19" s="207"/>
      <c r="AB19" s="207"/>
      <c r="AC19" s="207"/>
      <c r="AD19" s="207"/>
      <c r="AE19" s="207"/>
      <c r="AF19" s="207"/>
      <c r="AG19" s="207"/>
      <c r="AH19" s="207"/>
      <c r="AI19" s="207"/>
      <c r="AJ19" s="207"/>
      <c r="AK19" s="207"/>
    </row>
    <row r="20" spans="2:37" ht="15.95" customHeight="1" thickBot="1">
      <c r="B20" s="51" t="s">
        <v>14</v>
      </c>
      <c r="C20" s="130" t="str">
        <f>IF('Calculator } ASSET ALLOCATOR'!F6&lt;50000,"X","")</f>
        <v/>
      </c>
      <c r="D20" s="38">
        <v>0.8</v>
      </c>
      <c r="E20" s="37">
        <v>4.8</v>
      </c>
      <c r="F20" s="38">
        <v>3.4</v>
      </c>
      <c r="G20" s="38">
        <v>6</v>
      </c>
      <c r="H20" s="38"/>
      <c r="I20" s="23">
        <f>SUM(D20:H20)</f>
        <v>15</v>
      </c>
      <c r="J20" s="45"/>
      <c r="K20" s="190"/>
      <c r="L20" s="188" t="s">
        <v>82</v>
      </c>
      <c r="M20" s="188"/>
      <c r="N20" s="188"/>
      <c r="O20" s="188"/>
      <c r="P20" s="188"/>
      <c r="Q20" s="188"/>
      <c r="R20" s="188"/>
      <c r="T20" s="207"/>
      <c r="U20" s="207"/>
      <c r="V20" s="207"/>
      <c r="W20" s="207"/>
      <c r="X20" s="207"/>
      <c r="Y20" s="207"/>
      <c r="Z20" s="207"/>
      <c r="AA20" s="207"/>
      <c r="AB20" s="207"/>
      <c r="AC20" s="207"/>
      <c r="AD20" s="207"/>
      <c r="AE20" s="207"/>
      <c r="AF20" s="207"/>
      <c r="AG20" s="207"/>
      <c r="AH20" s="207"/>
      <c r="AI20" s="207"/>
      <c r="AJ20" s="207"/>
      <c r="AK20" s="207"/>
    </row>
    <row r="21" spans="2:37" ht="15.95" customHeight="1" thickBot="1">
      <c r="B21" s="51" t="s">
        <v>15</v>
      </c>
      <c r="C21" s="130" t="str">
        <f>IF('Calculator } ASSET ALLOCATOR'!F6&gt;50000, IF('Calculator } ASSET ALLOCATOR'!F6&lt;=150000,"X",""),"")</f>
        <v/>
      </c>
      <c r="D21" s="40">
        <v>0.4</v>
      </c>
      <c r="E21" s="39">
        <v>4.25</v>
      </c>
      <c r="F21" s="40">
        <v>3.75</v>
      </c>
      <c r="G21" s="40">
        <v>6.6</v>
      </c>
      <c r="H21" s="40"/>
      <c r="I21" s="23">
        <f>SUM(D21:H21)</f>
        <v>15</v>
      </c>
      <c r="J21" s="45"/>
      <c r="K21" s="195"/>
      <c r="L21" s="188" t="s">
        <v>89</v>
      </c>
      <c r="M21" s="188"/>
      <c r="N21" s="188"/>
      <c r="O21" s="188"/>
      <c r="P21" s="188"/>
      <c r="Q21" s="188"/>
      <c r="R21" s="188"/>
      <c r="T21" s="74"/>
      <c r="U21" s="74"/>
      <c r="V21" s="171"/>
      <c r="W21" s="171"/>
      <c r="X21" s="209" t="s">
        <v>175</v>
      </c>
      <c r="Y21" s="209"/>
      <c r="Z21" s="209"/>
      <c r="AA21" s="209"/>
      <c r="AB21" s="209"/>
      <c r="AC21" s="209"/>
      <c r="AD21" s="209"/>
      <c r="AE21" s="209"/>
      <c r="AF21" s="209"/>
      <c r="AG21" s="209"/>
      <c r="AH21" s="171"/>
      <c r="AI21" s="171"/>
      <c r="AJ21" s="74"/>
      <c r="AK21" s="74"/>
    </row>
    <row r="22" spans="2:37" ht="15.95" customHeight="1" thickBot="1">
      <c r="B22" s="51" t="s">
        <v>16</v>
      </c>
      <c r="C22" s="130" t="str">
        <f>IF('Calculator } ASSET ALLOCATOR'!F6&gt;150000, IF('Calculator } ASSET ALLOCATOR'!F6&lt;=500000,"X",""),"")</f>
        <v>X</v>
      </c>
      <c r="D22" s="155">
        <v>0.4</v>
      </c>
      <c r="E22" s="156">
        <v>4.25</v>
      </c>
      <c r="F22" s="155">
        <v>3.75</v>
      </c>
      <c r="G22" s="155">
        <v>4.05</v>
      </c>
      <c r="H22" s="155">
        <v>2.5499999999999998</v>
      </c>
      <c r="I22" s="23">
        <f>SUM(D22:H22)</f>
        <v>15</v>
      </c>
      <c r="J22" s="45"/>
      <c r="K22" s="47"/>
      <c r="L22" s="48"/>
      <c r="M22" s="48"/>
      <c r="N22" s="48"/>
      <c r="O22" s="48"/>
      <c r="P22" s="48"/>
      <c r="Q22" s="48"/>
      <c r="R22" s="48"/>
      <c r="T22" s="80"/>
      <c r="U22" s="80"/>
      <c r="V22" s="80"/>
      <c r="W22" s="80"/>
      <c r="X22" s="80"/>
      <c r="Y22" s="80"/>
      <c r="Z22" s="80"/>
      <c r="AA22" s="80"/>
      <c r="AB22" s="80"/>
      <c r="AC22" s="80"/>
      <c r="AD22" s="80"/>
      <c r="AE22" s="80"/>
      <c r="AF22" s="80"/>
      <c r="AG22" s="80"/>
      <c r="AH22" s="80"/>
      <c r="AI22" s="80"/>
      <c r="AJ22" s="80"/>
      <c r="AK22" s="80"/>
    </row>
    <row r="23" spans="2:37" ht="15.95" customHeight="1" thickBot="1">
      <c r="B23" s="52" t="s">
        <v>17</v>
      </c>
      <c r="C23" s="130" t="str">
        <f>IF('Calculator } ASSET ALLOCATOR'!F6&gt;500000,"X","")</f>
        <v/>
      </c>
      <c r="D23" s="30"/>
      <c r="E23" s="41">
        <v>4.2</v>
      </c>
      <c r="F23" s="30">
        <v>3.9</v>
      </c>
      <c r="G23" s="30">
        <v>4.2</v>
      </c>
      <c r="H23" s="30">
        <v>2.7</v>
      </c>
      <c r="I23" s="23">
        <f>SUM(D23:H23)</f>
        <v>15</v>
      </c>
      <c r="J23" s="45"/>
      <c r="K23" s="46">
        <v>4</v>
      </c>
      <c r="L23" s="193" t="s">
        <v>70</v>
      </c>
      <c r="M23" s="193"/>
      <c r="N23" s="193"/>
      <c r="O23" s="193"/>
      <c r="P23" s="193"/>
      <c r="Q23" s="193"/>
      <c r="R23" s="193"/>
      <c r="T23" s="80"/>
      <c r="U23" s="80"/>
      <c r="V23" s="80"/>
      <c r="W23" s="80"/>
      <c r="X23" s="80"/>
      <c r="Y23" s="80"/>
      <c r="Z23" s="80"/>
      <c r="AA23" s="80"/>
      <c r="AB23" s="80"/>
      <c r="AC23" s="80"/>
      <c r="AD23" s="80"/>
      <c r="AE23" s="80"/>
      <c r="AF23" s="80"/>
      <c r="AG23" s="80"/>
      <c r="AH23" s="80"/>
      <c r="AI23" s="80"/>
      <c r="AJ23" s="80"/>
      <c r="AK23" s="80"/>
    </row>
    <row r="24" spans="2:37" ht="15.95" customHeight="1" thickBot="1">
      <c r="B24" s="24"/>
      <c r="C24" s="24"/>
      <c r="D24" s="24"/>
      <c r="E24" s="24"/>
      <c r="F24" s="24"/>
      <c r="G24" s="24"/>
      <c r="H24" s="24"/>
      <c r="I24" s="24"/>
      <c r="J24" s="45"/>
      <c r="K24" s="189">
        <f>IF('Calculator } ASSET ALLOCATOR'!L17=BRAINOV!L24,0.11,IF('Calculator } ASSET ALLOCATOR'!L17=BRAINOV!L25,0.33,IF('Calculator } ASSET ALLOCATOR'!L17=BRAINOV!L26,0.67,IF('Calculator } ASSET ALLOCATOR'!L17=BRAINOV!L27,1,"E"))))</f>
        <v>1</v>
      </c>
      <c r="L24" s="188" t="s">
        <v>72</v>
      </c>
      <c r="M24" s="188"/>
      <c r="N24" s="188"/>
      <c r="O24" s="188"/>
      <c r="P24" s="188"/>
      <c r="Q24" s="188"/>
      <c r="R24" s="188"/>
      <c r="T24" s="80"/>
      <c r="U24" s="80"/>
      <c r="V24" s="80"/>
      <c r="W24" s="80"/>
      <c r="X24" s="80"/>
      <c r="Y24" s="80"/>
      <c r="Z24" s="80"/>
      <c r="AA24" s="80"/>
      <c r="AB24" s="80"/>
      <c r="AC24" s="80"/>
      <c r="AD24" s="80"/>
      <c r="AE24" s="80"/>
      <c r="AF24" s="80"/>
      <c r="AG24" s="80"/>
      <c r="AH24" s="80"/>
      <c r="AI24" s="80"/>
      <c r="AJ24" s="80"/>
      <c r="AK24" s="80"/>
    </row>
    <row r="25" spans="2:37" ht="15.95" customHeight="1" thickBot="1">
      <c r="B25" s="27" t="s">
        <v>18</v>
      </c>
      <c r="C25" s="26"/>
      <c r="D25" s="28"/>
      <c r="E25" s="28"/>
      <c r="F25" s="28"/>
      <c r="G25" s="28"/>
      <c r="H25" s="28"/>
      <c r="I25" s="23"/>
      <c r="J25" s="45"/>
      <c r="K25" s="190"/>
      <c r="L25" s="188" t="s">
        <v>73</v>
      </c>
      <c r="M25" s="188"/>
      <c r="N25" s="188"/>
      <c r="O25" s="188"/>
      <c r="P25" s="188"/>
      <c r="Q25" s="188"/>
      <c r="R25" s="188"/>
      <c r="T25" s="80"/>
      <c r="U25" s="80"/>
      <c r="V25" s="80"/>
      <c r="W25" s="80"/>
      <c r="X25" s="80"/>
      <c r="Y25" s="80"/>
      <c r="Z25" s="80"/>
      <c r="AA25" s="80"/>
      <c r="AB25" s="80"/>
      <c r="AC25" s="80"/>
      <c r="AD25" s="80"/>
      <c r="AE25" s="80"/>
      <c r="AF25" s="80"/>
      <c r="AG25" s="80"/>
      <c r="AH25" s="80"/>
      <c r="AI25" s="80"/>
      <c r="AJ25" s="80"/>
      <c r="AK25" s="80"/>
    </row>
    <row r="26" spans="2:37" ht="15.95" customHeight="1" thickBot="1">
      <c r="B26" s="49" t="s">
        <v>21</v>
      </c>
      <c r="C26" s="130" t="str">
        <f>IF('Calculator } ASSET ALLOCATOR'!G6&lt;35000,IF('Calculator } ASSET ALLOCATOR'!G6=0,"","X"),"")</f>
        <v/>
      </c>
      <c r="D26" s="109">
        <v>1.6</v>
      </c>
      <c r="E26" s="110">
        <v>3</v>
      </c>
      <c r="F26" s="109">
        <v>2</v>
      </c>
      <c r="G26" s="111">
        <v>2.4</v>
      </c>
      <c r="H26" s="111">
        <v>1</v>
      </c>
      <c r="I26" s="23">
        <f>SUM(D26:H26)</f>
        <v>10</v>
      </c>
      <c r="J26" s="45"/>
      <c r="K26" s="190"/>
      <c r="L26" s="188" t="s">
        <v>74</v>
      </c>
      <c r="M26" s="188"/>
      <c r="N26" s="188"/>
      <c r="O26" s="188"/>
      <c r="P26" s="188"/>
      <c r="Q26" s="188"/>
      <c r="R26" s="188"/>
      <c r="T26" s="80"/>
      <c r="U26" s="80"/>
      <c r="V26" s="80"/>
      <c r="W26" s="80"/>
      <c r="X26" s="80"/>
      <c r="Y26" s="80"/>
      <c r="Z26" s="80"/>
      <c r="AA26" s="80"/>
      <c r="AB26" s="80"/>
      <c r="AC26" s="80"/>
      <c r="AD26" s="80"/>
      <c r="AE26" s="80"/>
      <c r="AF26" s="80"/>
      <c r="AG26" s="80"/>
      <c r="AH26" s="80"/>
      <c r="AI26" s="80"/>
      <c r="AJ26" s="80"/>
      <c r="AK26" s="80"/>
    </row>
    <row r="27" spans="2:37" ht="15.95" customHeight="1" thickBot="1">
      <c r="B27" s="51" t="s">
        <v>22</v>
      </c>
      <c r="C27" s="130" t="str">
        <f>IF('Calculator } ASSET ALLOCATOR'!G6&gt;35000, IF('Calculator } ASSET ALLOCATOR'!G6&lt;=75000,"X",""),"")</f>
        <v/>
      </c>
      <c r="D27" s="112">
        <v>0.8</v>
      </c>
      <c r="E27" s="112">
        <v>2.8</v>
      </c>
      <c r="F27" s="112">
        <v>2.5</v>
      </c>
      <c r="G27" s="112">
        <v>2.7</v>
      </c>
      <c r="H27" s="112">
        <v>1.2</v>
      </c>
      <c r="I27" s="23">
        <f>SUM(D27:H27)</f>
        <v>10</v>
      </c>
      <c r="J27" s="45"/>
      <c r="K27" s="195"/>
      <c r="L27" s="188" t="s">
        <v>75</v>
      </c>
      <c r="M27" s="188"/>
      <c r="N27" s="188"/>
      <c r="O27" s="188"/>
      <c r="P27" s="188"/>
      <c r="Q27" s="188"/>
      <c r="R27" s="188"/>
      <c r="T27" s="80"/>
      <c r="U27" s="80"/>
      <c r="V27" s="80"/>
      <c r="W27" s="80"/>
      <c r="X27" s="80"/>
      <c r="Y27" s="80"/>
      <c r="Z27" s="80"/>
      <c r="AA27" s="80"/>
      <c r="AB27" s="80"/>
      <c r="AC27" s="80"/>
      <c r="AD27" s="80"/>
      <c r="AE27" s="80"/>
      <c r="AF27" s="80"/>
      <c r="AG27" s="80"/>
      <c r="AH27" s="80"/>
      <c r="AI27" s="80"/>
      <c r="AJ27" s="80"/>
      <c r="AK27" s="80"/>
    </row>
    <row r="28" spans="2:37" ht="15.95" customHeight="1" thickBot="1">
      <c r="B28" s="51" t="s">
        <v>23</v>
      </c>
      <c r="C28" s="130" t="str">
        <f>IF('Calculator } ASSET ALLOCATOR'!G6&gt;75000, IF('Calculator } ASSET ALLOCATOR'!G6&lt;=125000,"X",""),"")</f>
        <v>X</v>
      </c>
      <c r="D28" s="113">
        <v>0.4</v>
      </c>
      <c r="E28" s="113">
        <v>2.7</v>
      </c>
      <c r="F28" s="113">
        <v>2.5</v>
      </c>
      <c r="G28" s="113">
        <v>2.7</v>
      </c>
      <c r="H28" s="113">
        <v>1.7</v>
      </c>
      <c r="I28" s="23">
        <f>SUM(D28:H28)</f>
        <v>10</v>
      </c>
      <c r="J28" s="45"/>
      <c r="K28" s="47"/>
      <c r="L28" s="48"/>
      <c r="M28" s="48"/>
      <c r="N28" s="48"/>
      <c r="O28" s="48"/>
      <c r="P28" s="48"/>
      <c r="Q28" s="48"/>
      <c r="R28" s="48"/>
      <c r="T28" s="80"/>
      <c r="U28" s="80"/>
      <c r="V28" s="80"/>
      <c r="W28" s="80"/>
      <c r="X28" s="80"/>
      <c r="Y28" s="80"/>
      <c r="Z28" s="80"/>
      <c r="AA28" s="80"/>
      <c r="AB28" s="80"/>
      <c r="AC28" s="80"/>
      <c r="AD28" s="80"/>
      <c r="AE28" s="80"/>
      <c r="AF28" s="80"/>
      <c r="AG28" s="80"/>
      <c r="AH28" s="80"/>
      <c r="AI28" s="80"/>
      <c r="AJ28" s="80"/>
      <c r="AK28" s="80"/>
    </row>
    <row r="29" spans="2:37" ht="15.95" customHeight="1" thickBot="1">
      <c r="B29" s="53" t="s">
        <v>20</v>
      </c>
      <c r="C29" s="130" t="str">
        <f>IF('Calculator } ASSET ALLOCATOR'!G6&gt;125000,"X","")</f>
        <v/>
      </c>
      <c r="D29" s="114"/>
      <c r="E29" s="115"/>
      <c r="F29" s="114">
        <v>3.3</v>
      </c>
      <c r="G29" s="114">
        <v>3.4</v>
      </c>
      <c r="H29" s="114">
        <v>3.3</v>
      </c>
      <c r="I29" s="23">
        <f>SUM(D29:H29)</f>
        <v>10</v>
      </c>
      <c r="J29" s="45"/>
      <c r="K29" s="46">
        <v>5</v>
      </c>
      <c r="L29" s="193" t="s">
        <v>71</v>
      </c>
      <c r="M29" s="193"/>
      <c r="N29" s="193"/>
      <c r="O29" s="193"/>
      <c r="P29" s="193"/>
      <c r="Q29" s="193"/>
      <c r="R29" s="193"/>
      <c r="T29" s="80"/>
      <c r="U29" s="80"/>
      <c r="V29" s="80"/>
      <c r="W29" s="80"/>
      <c r="X29" s="80"/>
      <c r="Y29" s="80"/>
      <c r="Z29" s="80"/>
      <c r="AA29" s="80"/>
      <c r="AB29" s="80"/>
      <c r="AC29" s="80"/>
      <c r="AD29" s="80"/>
      <c r="AE29" s="80"/>
      <c r="AF29" s="80"/>
      <c r="AG29" s="80"/>
      <c r="AH29" s="80"/>
      <c r="AI29" s="80"/>
      <c r="AJ29" s="80"/>
      <c r="AK29" s="80"/>
    </row>
    <row r="30" spans="2:37" ht="15.95" customHeight="1" thickBot="1">
      <c r="B30" s="52" t="s">
        <v>19</v>
      </c>
      <c r="C30" s="131" t="str">
        <f>IF('Calculator } ASSET ALLOCATOR'!G6=0,"X","")</f>
        <v/>
      </c>
      <c r="D30" s="116">
        <v>3.2</v>
      </c>
      <c r="E30" s="117">
        <v>5</v>
      </c>
      <c r="F30" s="116">
        <v>1.8</v>
      </c>
      <c r="G30" s="116"/>
      <c r="H30" s="116"/>
      <c r="I30" s="23">
        <f>SUM(D30:H30)</f>
        <v>10</v>
      </c>
      <c r="J30" s="45"/>
      <c r="K30" s="189">
        <f>IF('Calculator } ASSET ALLOCATOR'!L20=BRAINOV!L30,0.11,IF('Calculator } ASSET ALLOCATOR'!L20=BRAINOV!L31,0.33,IF('Calculator } ASSET ALLOCATOR'!L20=BRAINOV!L32,0.67,IF('Calculator } ASSET ALLOCATOR'!L20=BRAINOV!L33,1,"E"))))</f>
        <v>0.33</v>
      </c>
      <c r="L30" s="188" t="s">
        <v>76</v>
      </c>
      <c r="M30" s="188"/>
      <c r="N30" s="188"/>
      <c r="O30" s="188"/>
      <c r="P30" s="188"/>
      <c r="Q30" s="188"/>
      <c r="R30" s="188"/>
      <c r="T30" s="80"/>
      <c r="U30" s="80"/>
      <c r="V30" s="80"/>
      <c r="W30" s="80"/>
      <c r="X30" s="80"/>
      <c r="Y30" s="80"/>
      <c r="Z30" s="80"/>
      <c r="AA30" s="80"/>
      <c r="AB30" s="80"/>
      <c r="AC30" s="80"/>
      <c r="AD30" s="80"/>
      <c r="AE30" s="80"/>
      <c r="AF30" s="80"/>
      <c r="AG30" s="80"/>
      <c r="AH30" s="80"/>
      <c r="AI30" s="80"/>
      <c r="AJ30" s="80"/>
      <c r="AK30" s="80"/>
    </row>
    <row r="31" spans="2:37" ht="15.95" customHeight="1" thickBot="1">
      <c r="B31" s="24"/>
      <c r="C31" s="24"/>
      <c r="D31" s="24"/>
      <c r="E31" s="24"/>
      <c r="F31" s="24"/>
      <c r="G31" s="24"/>
      <c r="H31" s="24"/>
      <c r="I31" s="24"/>
      <c r="J31" s="45"/>
      <c r="K31" s="190"/>
      <c r="L31" s="188" t="s">
        <v>77</v>
      </c>
      <c r="M31" s="188"/>
      <c r="N31" s="188"/>
      <c r="O31" s="188"/>
      <c r="P31" s="188"/>
      <c r="Q31" s="188"/>
      <c r="R31" s="188"/>
      <c r="T31" s="80"/>
      <c r="U31" s="80"/>
      <c r="V31" s="80"/>
      <c r="W31" s="80"/>
      <c r="X31" s="80"/>
      <c r="Y31" s="80"/>
      <c r="Z31" s="80"/>
      <c r="AA31" s="80"/>
      <c r="AB31" s="80"/>
      <c r="AC31" s="80"/>
      <c r="AD31" s="80"/>
      <c r="AE31" s="80"/>
      <c r="AF31" s="80"/>
      <c r="AG31" s="80"/>
      <c r="AH31" s="80"/>
      <c r="AI31" s="80"/>
      <c r="AJ31" s="80"/>
      <c r="AK31" s="80"/>
    </row>
    <row r="32" spans="2:37" ht="15.95" customHeight="1" thickBot="1">
      <c r="B32" s="27" t="s">
        <v>28</v>
      </c>
      <c r="C32" s="26"/>
      <c r="D32" s="24"/>
      <c r="E32" s="28"/>
      <c r="F32" s="28"/>
      <c r="G32" s="28"/>
      <c r="H32" s="28"/>
      <c r="I32" s="23"/>
      <c r="J32" s="45"/>
      <c r="K32" s="190"/>
      <c r="L32" s="188" t="s">
        <v>78</v>
      </c>
      <c r="M32" s="188"/>
      <c r="N32" s="188"/>
      <c r="O32" s="188"/>
      <c r="P32" s="188"/>
      <c r="Q32" s="188"/>
      <c r="R32" s="188"/>
      <c r="T32" s="80"/>
      <c r="U32" s="80"/>
      <c r="V32" s="80"/>
      <c r="W32" s="80"/>
      <c r="X32" s="80"/>
      <c r="Y32" s="80"/>
      <c r="Z32" s="80"/>
      <c r="AA32" s="80"/>
      <c r="AB32" s="80"/>
      <c r="AC32" s="80"/>
      <c r="AD32" s="80"/>
      <c r="AE32" s="80"/>
      <c r="AF32" s="80"/>
      <c r="AG32" s="80"/>
      <c r="AH32" s="80"/>
      <c r="AI32" s="80"/>
      <c r="AJ32" s="80"/>
      <c r="AK32" s="80"/>
    </row>
    <row r="33" spans="1:37" ht="15.95" customHeight="1" thickBot="1">
      <c r="B33" s="49" t="s">
        <v>24</v>
      </c>
      <c r="C33" s="29" t="str">
        <f>IF('Calculator } ASSET ALLOCATOR'!H6&lt;35,"X","")</f>
        <v/>
      </c>
      <c r="D33" s="38"/>
      <c r="E33" s="38"/>
      <c r="F33" s="38">
        <v>10</v>
      </c>
      <c r="G33" s="38">
        <v>5</v>
      </c>
      <c r="H33" s="128">
        <v>5</v>
      </c>
      <c r="I33" s="23">
        <f>SUM(D33:H33)</f>
        <v>20</v>
      </c>
      <c r="J33" s="45"/>
      <c r="K33" s="195"/>
      <c r="L33" s="188" t="s">
        <v>79</v>
      </c>
      <c r="M33" s="188"/>
      <c r="N33" s="188"/>
      <c r="O33" s="188"/>
      <c r="P33" s="188"/>
      <c r="Q33" s="188"/>
      <c r="R33" s="188"/>
      <c r="T33" s="211" t="s">
        <v>0</v>
      </c>
      <c r="U33" s="211"/>
      <c r="V33" s="211"/>
      <c r="W33" s="211"/>
      <c r="X33" s="211"/>
      <c r="Y33" s="211"/>
      <c r="Z33" s="211"/>
      <c r="AA33" s="211"/>
      <c r="AB33" s="211"/>
      <c r="AC33" s="211"/>
      <c r="AD33" s="211"/>
      <c r="AE33" s="211"/>
      <c r="AF33" s="211"/>
      <c r="AG33" s="211"/>
      <c r="AH33" s="211"/>
      <c r="AI33" s="211"/>
      <c r="AJ33" s="211"/>
      <c r="AK33" s="211"/>
    </row>
    <row r="34" spans="1:37" ht="15.95" customHeight="1" thickBot="1">
      <c r="B34" s="51" t="s">
        <v>25</v>
      </c>
      <c r="C34" s="29" t="str">
        <f>IF('Calculator } ASSET ALLOCATOR'!H6&gt;=35, IF('Calculator } ASSET ALLOCATOR'!H6&lt;=55,"X",""),"")</f>
        <v>X</v>
      </c>
      <c r="D34" s="54">
        <v>1.5</v>
      </c>
      <c r="E34" s="54">
        <v>4.7</v>
      </c>
      <c r="F34" s="54">
        <v>5</v>
      </c>
      <c r="G34" s="54">
        <v>5.4</v>
      </c>
      <c r="H34" s="129">
        <v>3.4</v>
      </c>
      <c r="I34" s="23">
        <f>SUM(D34:H34)</f>
        <v>20</v>
      </c>
      <c r="J34" s="45"/>
      <c r="K34" s="47"/>
      <c r="L34" s="48"/>
      <c r="M34" s="48"/>
      <c r="N34" s="48"/>
      <c r="O34" s="48"/>
      <c r="P34" s="48"/>
      <c r="Q34" s="48"/>
      <c r="R34" s="48"/>
      <c r="V34" s="212" t="s">
        <v>176</v>
      </c>
      <c r="W34" s="212"/>
      <c r="X34" s="212"/>
      <c r="Y34" s="212"/>
      <c r="Z34" s="212"/>
      <c r="AA34" s="212"/>
      <c r="AB34" s="212"/>
      <c r="AC34" s="212"/>
      <c r="AD34" s="212"/>
      <c r="AE34" s="212"/>
      <c r="AF34" s="212"/>
      <c r="AG34" s="212"/>
      <c r="AH34" s="212"/>
      <c r="AI34" s="212"/>
    </row>
    <row r="35" spans="1:37" ht="15.95" customHeight="1" thickBot="1">
      <c r="B35" s="51" t="s">
        <v>26</v>
      </c>
      <c r="C35" s="29" t="str">
        <f>IF('Calculator } ASSET ALLOCATOR'!H6&gt;55, IF('Calculator } ASSET ALLOCATOR'!H6&lt;=65,"X",""),"")</f>
        <v/>
      </c>
      <c r="D35" s="40">
        <f>0.225*20/15</f>
        <v>0.3</v>
      </c>
      <c r="E35" s="39">
        <f>5.925*20/15</f>
        <v>7.9</v>
      </c>
      <c r="F35" s="40">
        <f>4.8*20/15</f>
        <v>6.4</v>
      </c>
      <c r="G35" s="40">
        <f>4.05*20/15</f>
        <v>5.4</v>
      </c>
      <c r="H35" s="40"/>
      <c r="I35" s="23">
        <f>SUM(D35:H35)</f>
        <v>20</v>
      </c>
      <c r="J35" s="45"/>
      <c r="K35" s="46">
        <v>6</v>
      </c>
      <c r="L35" s="193" t="s">
        <v>83</v>
      </c>
      <c r="M35" s="193"/>
      <c r="N35" s="193"/>
      <c r="O35" s="193"/>
      <c r="P35" s="193"/>
      <c r="Q35" s="193"/>
      <c r="R35" s="193"/>
    </row>
    <row r="36" spans="1:37" ht="15.95" customHeight="1" thickBot="1">
      <c r="B36" s="67" t="s">
        <v>27</v>
      </c>
      <c r="C36" s="59" t="str">
        <f>IF('Calculator } ASSET ALLOCATOR'!H6&gt;65,"X","")</f>
        <v/>
      </c>
      <c r="D36" s="56">
        <f>15*20/15</f>
        <v>20</v>
      </c>
      <c r="E36" s="57"/>
      <c r="F36" s="56"/>
      <c r="G36" s="56"/>
      <c r="H36" s="56"/>
      <c r="I36" s="23">
        <f>SUM(D36:H36)</f>
        <v>20</v>
      </c>
      <c r="J36" s="45"/>
      <c r="K36" s="189">
        <f>IF('Calculator } ASSET ALLOCATOR'!L23=BRAINOV!L36,0.11,IF('Calculator } ASSET ALLOCATOR'!L23=BRAINOV!L37,0.33,IF('Calculator } ASSET ALLOCATOR'!L23=BRAINOV!L38,0.67,IF('Calculator } ASSET ALLOCATOR'!L23=+BRAINOV!L39,1,"E"))))</f>
        <v>0.67</v>
      </c>
      <c r="L36" s="188" t="s">
        <v>84</v>
      </c>
      <c r="M36" s="188"/>
      <c r="N36" s="188"/>
      <c r="O36" s="188"/>
      <c r="P36" s="188"/>
      <c r="Q36" s="188"/>
      <c r="R36" s="188"/>
    </row>
    <row r="37" spans="1:37" ht="15.95" customHeight="1">
      <c r="B37" s="219" t="s">
        <v>9</v>
      </c>
      <c r="C37" s="220"/>
      <c r="D37" s="60">
        <f>IF($C$33="X",$D$33/100,IF($C$34="X",$D$34/100,IF($C$35="X",$D$35/100,IF($C$36="X",$D$36/100,0))))</f>
        <v>1.4999999999999999E-2</v>
      </c>
      <c r="E37" s="60">
        <f>IF($C$33="X",$E$33/100,IF($C$34="X",$E$34/100,IF($C$35="X",$E$35/100,IF($C$36="X",$E$36/100,0))))</f>
        <v>4.7E-2</v>
      </c>
      <c r="F37" s="60">
        <f>IF($C$33="X",$F$33/100,IF($C$34="X",$F$34/100,IF($C$35="X",$F$35/100,IF($C$36="X",$F$36/100,0))))</f>
        <v>0.05</v>
      </c>
      <c r="G37" s="60">
        <f>IF($C$33="X",$G$33/100,IF($C$34="X",$G$34/100,IF($C$35="X",$G$35/100,IF($C$36="X",$G$36/100,0))))</f>
        <v>5.4000000000000006E-2</v>
      </c>
      <c r="H37" s="61">
        <f>IF($C$33="X",$H$33/100,IF($C$34="X",$H$34/100,IF($C$35="X",$H$35/100,IF($C$36="X",$H$36/100,0))))</f>
        <v>3.4000000000000002E-2</v>
      </c>
      <c r="I37" s="23"/>
      <c r="J37" s="45"/>
      <c r="K37" s="190"/>
      <c r="L37" s="188" t="s">
        <v>85</v>
      </c>
      <c r="M37" s="188"/>
      <c r="N37" s="188"/>
      <c r="O37" s="188"/>
      <c r="P37" s="188"/>
      <c r="Q37" s="188"/>
      <c r="R37" s="188"/>
    </row>
    <row r="38" spans="1:37" ht="15.95" customHeight="1">
      <c r="B38" s="221"/>
      <c r="C38" s="222"/>
      <c r="D38" s="58">
        <f>(IF($C$26="X",$D$26/100,IF($C$27="X",$D$27/100,IF($C$28="X",$D$28/100,IF($C$29="X",$D$29/100,IF($C$30="X",$D$30/100,0))))))</f>
        <v>4.0000000000000001E-3</v>
      </c>
      <c r="E38" s="58">
        <f>(IF($C$26="X",$E$26/100,IF($C$27="X",$E$27/100,IF($C$28="X",$E$28/100,IF($C$29="X",$E$29/100,IF($C$30="X",$E$30/100,0))))))</f>
        <v>2.7000000000000003E-2</v>
      </c>
      <c r="F38" s="58">
        <f>(IF($C$26="X",$F$26/100,IF($C$27="X",$F$27/100,IF($C$28="X",$F$28/100,IF($C$29="X",$F$29/100,IF($C$30="X",$F$30/100,0))))))</f>
        <v>2.5000000000000001E-2</v>
      </c>
      <c r="G38" s="58">
        <f>(IF($C$26="X",$G$26/100,IF($C$27="X",$G$27/100,IF($C$28="X",$G$28/100,IF($C$29="X",$G$29/100,IF($C$30="X",$G$30/100,0))))))</f>
        <v>2.7000000000000003E-2</v>
      </c>
      <c r="H38" s="62">
        <f>(IF($C$26="X",$H$26/100,IF($C$27="X",$H$27/100,IF($C$28="X",$H$28/100,IF($C$29="X",$H$29/100,IF($C$30="X",$H$30/100,0))))))</f>
        <v>1.7000000000000001E-2</v>
      </c>
      <c r="I38" s="23"/>
      <c r="J38" s="45"/>
      <c r="K38" s="190"/>
      <c r="L38" s="188" t="s">
        <v>86</v>
      </c>
      <c r="M38" s="188"/>
      <c r="N38" s="188"/>
      <c r="O38" s="188"/>
      <c r="P38" s="188"/>
      <c r="Q38" s="188"/>
      <c r="R38" s="188"/>
    </row>
    <row r="39" spans="1:37" ht="15.95" customHeight="1">
      <c r="B39" s="221"/>
      <c r="C39" s="222"/>
      <c r="D39" s="58">
        <f>IF($C$20="X",$D$20/100,IF($C$21="X",$D$21/100,IF($C$22="X",$D$22/100,IF($C$23="X",$D$23/100,))))</f>
        <v>4.0000000000000001E-3</v>
      </c>
      <c r="E39" s="58">
        <f>IF($C$20="X",$E$20/100,IF($C$21="X",$E$21/100,IF($C$22="X",$E$22/100,IF($C$23="X",$E$23/100,))))</f>
        <v>4.2500000000000003E-2</v>
      </c>
      <c r="F39" s="58">
        <f>IF($C$20="X",$F$20/100,IF($C$21="X",$F$21/100,IF($C$22="X",$F$22/100,IF($C$23="X",$F$23/100,))))</f>
        <v>3.7499999999999999E-2</v>
      </c>
      <c r="G39" s="58">
        <f>IF($C$20="X",$G$20/100,IF($C$21="X",$G$21/100,IF($C$22="X",$G$22/100,IF($C$23="X",$G$23/100,))))</f>
        <v>4.0500000000000001E-2</v>
      </c>
      <c r="H39" s="62">
        <f>IF($C$20="X",$H$20/100,IF($C$21="X",$H$21/100,IF($C$22="X",$H$22/100,IF($C$23="X",$H$23/100,))))</f>
        <v>2.5499999999999998E-2</v>
      </c>
      <c r="I39" s="23"/>
      <c r="J39" s="45"/>
      <c r="K39" s="195"/>
      <c r="L39" s="188" t="s">
        <v>87</v>
      </c>
      <c r="M39" s="188"/>
      <c r="N39" s="188"/>
      <c r="O39" s="188"/>
      <c r="P39" s="188"/>
      <c r="Q39" s="188"/>
      <c r="R39" s="188"/>
    </row>
    <row r="40" spans="1:37" ht="15.95" customHeight="1">
      <c r="B40" s="221"/>
      <c r="C40" s="222"/>
      <c r="D40" s="58">
        <f>(IF($C$15="X",$D$15/100,IF($C$16="X",$D$16/100,IF($C$17="X",$D$17/100,0))))</f>
        <v>0</v>
      </c>
      <c r="E40" s="58">
        <f>(IF($C$15="X",$E$15/100,IF($C$16="X",$E$16/100,IF($C$17="X",$E$17/100,0))))</f>
        <v>6.7500000000000004E-2</v>
      </c>
      <c r="F40" s="58">
        <f>(IF($C$15="X",$F$15/100,IF($C$16="X",$F$16/100,IF($C$17="X",$F$17/100,0))))</f>
        <v>6.5000000000000002E-2</v>
      </c>
      <c r="G40" s="58">
        <f>(IF($C$15="X",$G$15/100,IF($C$16="X",$G$16/100,IF($C$17="X",$G$17/100,0))))</f>
        <v>7.2499999999999995E-2</v>
      </c>
      <c r="H40" s="62">
        <f>(IF($C$15="X",$H$15/100,IF($C$16="X",$H$16/100,IF($C$17="X",$H$17/100,0))))</f>
        <v>4.4999999999999998E-2</v>
      </c>
      <c r="I40" s="23"/>
      <c r="J40" s="45"/>
      <c r="K40" s="47"/>
      <c r="L40" s="48"/>
      <c r="M40" s="48"/>
      <c r="N40" s="48"/>
      <c r="O40" s="48"/>
      <c r="P40" s="48"/>
      <c r="Q40" s="48"/>
      <c r="R40" s="48"/>
    </row>
    <row r="41" spans="1:37" ht="15.95" customHeight="1" thickBot="1">
      <c r="B41" s="223"/>
      <c r="C41" s="224"/>
      <c r="D41" s="63">
        <f>IF($C$8="X",$D$8/100,IF($C$9="X",$D$9/100,IF($C$10="X",$D$10/100,IF($C$11="X",$D$11/100,IF($C$12="X",$D$12/100,)))))</f>
        <v>6.9999999999999993E-3</v>
      </c>
      <c r="E41" s="63">
        <f>IF($C$8="X",$E$8/100,IF($C$9="X",$E$9/100,IF($C$10="X",$E$10/100,IF($C$11="X",$E$11/100,IF($C$12="X",$E$12/100,)))))</f>
        <v>8.5999999999999993E-2</v>
      </c>
      <c r="F41" s="63">
        <f>IF($C$8="X",$F$8/100,IF($C$9="X",$F$9/100,IF($C$10="X",$F$10/100,IF($C$11="X",$F$11/100,IF($C$12="X",$F$12/100,)))))</f>
        <v>7.4999999999999997E-2</v>
      </c>
      <c r="G41" s="63">
        <f>IF($C$8="X",$G$8/100,IF($C$9="X",$G$9/100,IF($C$10="X",$G$10/100,IF($C$11="X",$G$11/100,IF($C$12="X",$G$12/100,)))))</f>
        <v>8.1000000000000003E-2</v>
      </c>
      <c r="H41" s="64">
        <f>IF($C$8="X",$H$8/100,IF($C$9="X",$H$9/100,IF($C$10="X",$H$10/100,IF($C$11="X",$H$11/100,IF($C$12="X",$H$12/100,)))))</f>
        <v>5.0999999999999997E-2</v>
      </c>
      <c r="I41" s="23"/>
      <c r="J41" s="45"/>
      <c r="K41" s="46">
        <v>7</v>
      </c>
      <c r="L41" s="193" t="s">
        <v>99</v>
      </c>
      <c r="M41" s="193"/>
      <c r="N41" s="193"/>
      <c r="O41" s="193"/>
      <c r="P41" s="193"/>
      <c r="Q41" s="193"/>
      <c r="R41" s="193"/>
    </row>
    <row r="42" spans="1:37" ht="15.95" customHeight="1" thickBot="1">
      <c r="B42" s="45"/>
      <c r="C42" s="45"/>
      <c r="D42" s="45"/>
      <c r="E42" s="45"/>
      <c r="F42" s="45"/>
      <c r="G42" s="45"/>
      <c r="H42" s="45"/>
      <c r="I42" s="45"/>
      <c r="J42" s="45"/>
      <c r="K42" s="189">
        <f>IF('Calculator } ASSET ALLOCATOR'!L26=BRAINOV!L42,0.11,IF('Calculator } ASSET ALLOCATOR'!L26=BRAINOV!L43,0.33,IF('Calculator } ASSET ALLOCATOR'!L26=BRAINOV!L44,0.67,IF('Calculator } ASSET ALLOCATOR'!L26=+BRAINOV!L45,1,"E"))))</f>
        <v>0.67</v>
      </c>
      <c r="L42" s="188" t="s">
        <v>95</v>
      </c>
      <c r="M42" s="188"/>
      <c r="N42" s="188"/>
      <c r="O42" s="188"/>
      <c r="P42" s="188"/>
      <c r="Q42" s="188"/>
      <c r="R42" s="188"/>
    </row>
    <row r="43" spans="1:37" ht="15.95" customHeight="1" thickBot="1">
      <c r="B43" s="24"/>
      <c r="C43" s="24"/>
      <c r="D43" s="68" t="str">
        <f>+D5</f>
        <v>Fixed Income</v>
      </c>
      <c r="E43" s="69" t="str">
        <f>+E5</f>
        <v>Real Assets</v>
      </c>
      <c r="F43" s="70" t="str">
        <f>+F5</f>
        <v>Absolute Return</v>
      </c>
      <c r="G43" s="71" t="str">
        <f>+G5</f>
        <v>Equity</v>
      </c>
      <c r="H43" s="72" t="str">
        <f>+H5</f>
        <v>Private Equity</v>
      </c>
      <c r="I43" s="24"/>
      <c r="J43" s="45"/>
      <c r="K43" s="190"/>
      <c r="L43" s="188" t="s">
        <v>96</v>
      </c>
      <c r="M43" s="188"/>
      <c r="N43" s="188"/>
      <c r="O43" s="188"/>
      <c r="P43" s="188"/>
      <c r="Q43" s="188"/>
      <c r="R43" s="188"/>
    </row>
    <row r="44" spans="1:37" ht="15" customHeight="1" thickBot="1">
      <c r="B44" s="31" t="s">
        <v>33</v>
      </c>
      <c r="C44" s="26"/>
      <c r="D44" s="32">
        <f>SUM(D37:D41)</f>
        <v>0.03</v>
      </c>
      <c r="E44" s="33">
        <f>SUM(E37:E41)</f>
        <v>0.27</v>
      </c>
      <c r="F44" s="34">
        <f>SUM(F37:F41)</f>
        <v>0.2525</v>
      </c>
      <c r="G44" s="35">
        <f>SUM(G37:G41)</f>
        <v>0.27500000000000002</v>
      </c>
      <c r="H44" s="36">
        <f>SUM(H37:H41)</f>
        <v>0.17249999999999999</v>
      </c>
      <c r="I44" s="181">
        <f>SUM(D44:H44)</f>
        <v>1</v>
      </c>
      <c r="J44" s="45"/>
      <c r="K44" s="190"/>
      <c r="L44" s="188" t="s">
        <v>97</v>
      </c>
      <c r="M44" s="188"/>
      <c r="N44" s="188"/>
      <c r="O44" s="188"/>
      <c r="P44" s="188"/>
      <c r="Q44" s="188"/>
      <c r="R44" s="188"/>
    </row>
    <row r="45" spans="1:37" ht="15" customHeight="1" thickBot="1">
      <c r="B45" s="173" t="s">
        <v>180</v>
      </c>
      <c r="C45" s="174"/>
      <c r="D45" s="175">
        <f>+D44*3%</f>
        <v>8.9999999999999998E-4</v>
      </c>
      <c r="E45" s="175">
        <f>+E44*3%</f>
        <v>8.0999999999999996E-3</v>
      </c>
      <c r="F45" s="175">
        <f>+F44*3%</f>
        <v>7.5750000000000001E-3</v>
      </c>
      <c r="G45" s="178">
        <f>-G44*50%</f>
        <v>-0.13750000000000001</v>
      </c>
      <c r="H45" s="176">
        <f>-H44*50%</f>
        <v>-8.6249999999999993E-2</v>
      </c>
      <c r="I45" s="179">
        <f>SUM(D45:H45)</f>
        <v>-0.207175</v>
      </c>
      <c r="J45" s="87">
        <f>+D45+E45+F45-G44-H44</f>
        <v>-0.430925</v>
      </c>
      <c r="K45" s="195"/>
      <c r="L45" s="188" t="s">
        <v>98</v>
      </c>
      <c r="M45" s="188"/>
      <c r="N45" s="188"/>
      <c r="O45" s="188"/>
      <c r="P45" s="188"/>
      <c r="Q45" s="188"/>
      <c r="R45" s="188"/>
    </row>
    <row r="46" spans="1:37" ht="15.75" thickBot="1">
      <c r="B46" s="45"/>
      <c r="C46" s="45"/>
      <c r="D46" s="68" t="s">
        <v>36</v>
      </c>
      <c r="E46" s="69" t="s">
        <v>37</v>
      </c>
      <c r="F46" s="70" t="s">
        <v>38</v>
      </c>
      <c r="G46" s="71" t="s">
        <v>39</v>
      </c>
      <c r="H46" s="72" t="s">
        <v>122</v>
      </c>
      <c r="I46" s="180"/>
      <c r="J46" s="159"/>
      <c r="K46" s="47"/>
      <c r="L46" s="48"/>
      <c r="M46" s="48"/>
      <c r="N46" s="48"/>
      <c r="O46" s="48"/>
      <c r="P46" s="48"/>
      <c r="Q46" s="48"/>
      <c r="R46" s="48"/>
    </row>
    <row r="47" spans="1:37" ht="15.75" thickBot="1">
      <c r="B47" s="31" t="s">
        <v>32</v>
      </c>
      <c r="C47" s="20"/>
      <c r="D47" s="82">
        <f>D44*((D44+E44+F44+G44)-((D44+E44+F44+G44)-(100%-H47)))/(D44+E44+F44+G44)</f>
        <v>1.6096676737160118E-2</v>
      </c>
      <c r="E47" s="83">
        <f>E44*((D44+E44+F44+G44)-((D44+E44+F44+G44)-(100%-H47)))/(D44+E44+F44+G44)</f>
        <v>0.14487009063444109</v>
      </c>
      <c r="F47" s="84">
        <f>F44*((D44+E44+F44+G44)-((D44+E44+F44+G44)-(100%-H47)))/(D44+E44+F44+G44)</f>
        <v>0.13548036253776433</v>
      </c>
      <c r="G47" s="85">
        <f>G44*((D44+E44+F44+G44)-((D44+E44+F44+G44)-(100%-H47)))/(D44+E44+F44+G44)</f>
        <v>0.14755287009063445</v>
      </c>
      <c r="H47" s="86">
        <f>IF(K12&lt;0.33,0.00001%,IF(K12&lt;0.67,27.83%,55.6%))</f>
        <v>0.55600000000000005</v>
      </c>
      <c r="I47" s="181">
        <f>SUM(D47:H47)</f>
        <v>1</v>
      </c>
      <c r="J47" s="45"/>
      <c r="K47" s="46">
        <v>8</v>
      </c>
      <c r="L47" s="193" t="s">
        <v>110</v>
      </c>
      <c r="M47" s="193"/>
      <c r="N47" s="193"/>
      <c r="O47" s="193"/>
      <c r="P47" s="193"/>
      <c r="Q47" s="193"/>
      <c r="R47" s="193"/>
    </row>
    <row r="48" spans="1:37" ht="15" customHeight="1" thickBot="1">
      <c r="A48" s="179"/>
      <c r="B48" s="179"/>
      <c r="C48" s="179"/>
      <c r="D48" s="179"/>
      <c r="E48" s="179"/>
      <c r="F48" s="179"/>
      <c r="G48" s="179"/>
      <c r="H48" s="179"/>
      <c r="I48" s="179"/>
      <c r="J48" s="45"/>
      <c r="K48" s="189">
        <f>IF('Calculator } ASSET ALLOCATOR'!L29=BRAINOV!L48,0.11,IF('Calculator } ASSET ALLOCATOR'!L29=BRAINOV!L49,0.33,IF('Calculator } ASSET ALLOCATOR'!L29=BRAINOV!L50,0.67,IF('Calculator } ASSET ALLOCATOR'!L29=+BRAINOV!L51,1,"E"))))</f>
        <v>0.67</v>
      </c>
      <c r="L48" s="188" t="s">
        <v>106</v>
      </c>
      <c r="M48" s="188"/>
      <c r="N48" s="188"/>
      <c r="O48" s="188"/>
      <c r="P48" s="188"/>
      <c r="Q48" s="188"/>
      <c r="R48" s="188"/>
    </row>
    <row r="49" spans="2:18" ht="15" customHeight="1" thickBot="1">
      <c r="B49" s="31" t="s">
        <v>8</v>
      </c>
      <c r="C49" s="20"/>
      <c r="D49" s="82">
        <v>0.04</v>
      </c>
      <c r="E49" s="83">
        <v>0.27</v>
      </c>
      <c r="F49" s="84">
        <v>0.25</v>
      </c>
      <c r="G49" s="85">
        <v>0.27</v>
      </c>
      <c r="H49" s="86">
        <v>0.17</v>
      </c>
      <c r="I49" s="181">
        <f>SUM(D49:H49)</f>
        <v>1</v>
      </c>
      <c r="J49" s="45"/>
      <c r="K49" s="190"/>
      <c r="L49" s="188" t="s">
        <v>107</v>
      </c>
      <c r="M49" s="188"/>
      <c r="N49" s="188"/>
      <c r="O49" s="188"/>
      <c r="P49" s="188"/>
      <c r="Q49" s="188"/>
      <c r="R49" s="188"/>
    </row>
    <row r="50" spans="2:18" ht="15" customHeight="1" thickBot="1">
      <c r="B50" s="45"/>
      <c r="C50" s="45"/>
      <c r="D50" s="45"/>
      <c r="E50" s="45"/>
      <c r="F50" s="45"/>
      <c r="G50" s="45"/>
      <c r="H50" s="45"/>
      <c r="I50" s="45"/>
      <c r="J50" s="45"/>
      <c r="K50" s="190"/>
      <c r="L50" s="188" t="s">
        <v>108</v>
      </c>
      <c r="M50" s="188"/>
      <c r="N50" s="188"/>
      <c r="O50" s="188"/>
      <c r="P50" s="188"/>
      <c r="Q50" s="188"/>
      <c r="R50" s="188"/>
    </row>
    <row r="51" spans="2:18" ht="15" customHeight="1">
      <c r="B51" s="213" t="s">
        <v>41</v>
      </c>
      <c r="C51" s="214"/>
      <c r="D51" s="92" t="str">
        <f>+D43</f>
        <v>Fixed Income</v>
      </c>
      <c r="E51" s="91">
        <f>+'Calculator } ASSET ALLOCATOR'!F23</f>
        <v>2.9996999999999999E-2</v>
      </c>
      <c r="F51" s="45"/>
      <c r="G51" s="161"/>
      <c r="H51" s="161"/>
      <c r="I51" s="45"/>
      <c r="J51" s="45"/>
      <c r="K51" s="195"/>
      <c r="L51" s="188" t="s">
        <v>109</v>
      </c>
      <c r="M51" s="188"/>
      <c r="N51" s="188"/>
      <c r="O51" s="188"/>
      <c r="P51" s="188"/>
      <c r="Q51" s="188"/>
      <c r="R51" s="188"/>
    </row>
    <row r="52" spans="2:18" ht="15" customHeight="1">
      <c r="B52" s="215"/>
      <c r="C52" s="216"/>
      <c r="D52" s="88" t="str">
        <f>+E43</f>
        <v>Real Assets</v>
      </c>
      <c r="E52" s="89">
        <f>+'Calculator } ASSET ALLOCATOR'!G23</f>
        <v>0.26997300000000002</v>
      </c>
      <c r="F52" s="45"/>
      <c r="G52" s="45"/>
      <c r="H52" s="45"/>
      <c r="I52" s="45"/>
      <c r="J52" s="45"/>
      <c r="K52" s="47"/>
      <c r="L52" s="48"/>
      <c r="M52" s="48"/>
      <c r="N52" s="48"/>
      <c r="O52" s="48"/>
      <c r="P52" s="48"/>
      <c r="Q52" s="48"/>
      <c r="R52" s="48"/>
    </row>
    <row r="53" spans="2:18" ht="15" customHeight="1">
      <c r="B53" s="215"/>
      <c r="C53" s="216"/>
      <c r="D53" s="88" t="str">
        <f>+F43</f>
        <v>Absolute Return</v>
      </c>
      <c r="E53" s="89">
        <f>+'Calculator } ASSET ALLOCATOR'!F24</f>
        <v>0.25247475000000003</v>
      </c>
      <c r="F53" s="45"/>
      <c r="G53" s="159"/>
      <c r="H53" s="159"/>
      <c r="I53" s="45"/>
      <c r="J53" s="45"/>
      <c r="K53" s="46">
        <v>9</v>
      </c>
      <c r="L53" s="193" t="s">
        <v>100</v>
      </c>
      <c r="M53" s="193"/>
      <c r="N53" s="193"/>
      <c r="O53" s="193"/>
      <c r="P53" s="193"/>
      <c r="Q53" s="193"/>
      <c r="R53" s="193"/>
    </row>
    <row r="54" spans="2:18" ht="15" customHeight="1">
      <c r="B54" s="215"/>
      <c r="C54" s="216"/>
      <c r="D54" s="88" t="str">
        <f>+H43</f>
        <v>Private Equity</v>
      </c>
      <c r="E54" s="89">
        <f>+'Calculator } ASSET ALLOCATOR'!F25</f>
        <v>0.17248274999999999</v>
      </c>
      <c r="F54" s="45"/>
      <c r="G54" s="160"/>
      <c r="H54" s="161"/>
      <c r="I54" s="45"/>
      <c r="J54" s="45"/>
      <c r="K54" s="189">
        <f>IF('Calculator } ASSET ALLOCATOR'!L32=BRAINOV!L54,0.11,IF('Calculator } ASSET ALLOCATOR'!L32=BRAINOV!L55,0.33,IF('Calculator } ASSET ALLOCATOR'!L32=BRAINOV!L56,0.67,IF('Calculator } ASSET ALLOCATOR'!L32=+BRAINOV!L57,1,"E"))))</f>
        <v>0.67</v>
      </c>
      <c r="L54" s="188" t="s">
        <v>101</v>
      </c>
      <c r="M54" s="188"/>
      <c r="N54" s="188"/>
      <c r="O54" s="188"/>
      <c r="P54" s="188"/>
      <c r="Q54" s="188"/>
      <c r="R54" s="188"/>
    </row>
    <row r="55" spans="2:18" ht="15" customHeight="1">
      <c r="B55" s="215"/>
      <c r="C55" s="216"/>
      <c r="D55" s="93" t="s">
        <v>114</v>
      </c>
      <c r="E55" s="89">
        <f>+'Calculator } ASSET ALLOCATOR'!G25</f>
        <v>1E-4</v>
      </c>
      <c r="F55" s="45"/>
      <c r="G55" s="159"/>
      <c r="H55" s="161"/>
      <c r="I55" s="45"/>
      <c r="J55" s="45"/>
      <c r="K55" s="190"/>
      <c r="L55" s="188" t="s">
        <v>102</v>
      </c>
      <c r="M55" s="188"/>
      <c r="N55" s="188"/>
      <c r="O55" s="188"/>
      <c r="P55" s="188"/>
      <c r="Q55" s="188"/>
      <c r="R55" s="188"/>
    </row>
    <row r="56" spans="2:18" ht="15" customHeight="1">
      <c r="B56" s="215"/>
      <c r="C56" s="216"/>
      <c r="D56" s="88" t="str">
        <f>+G43</f>
        <v>Equity</v>
      </c>
      <c r="E56" s="89">
        <f>+'Calculator } ASSET ALLOCATOR'!G24</f>
        <v>0.27497250000000001</v>
      </c>
      <c r="F56" s="45"/>
      <c r="G56" s="87"/>
      <c r="H56" s="162"/>
      <c r="I56" s="45"/>
      <c r="J56" s="45"/>
      <c r="K56" s="190"/>
      <c r="L56" s="188" t="s">
        <v>103</v>
      </c>
      <c r="M56" s="188"/>
      <c r="N56" s="188"/>
      <c r="O56" s="188"/>
      <c r="P56" s="188"/>
      <c r="Q56" s="188"/>
      <c r="R56" s="188"/>
    </row>
    <row r="57" spans="2:18" ht="15" customHeight="1" thickBot="1">
      <c r="B57" s="215"/>
      <c r="C57" s="216"/>
      <c r="D57" s="88" t="str">
        <f>+D46</f>
        <v>Blue Ships</v>
      </c>
      <c r="E57" s="89">
        <f>+D47*E56</f>
        <v>4.4261434441087606E-3</v>
      </c>
      <c r="F57" s="45"/>
      <c r="G57" s="160"/>
      <c r="H57" s="163"/>
      <c r="I57" s="45"/>
      <c r="J57" s="45"/>
      <c r="K57" s="190"/>
      <c r="L57" s="208" t="s">
        <v>104</v>
      </c>
      <c r="M57" s="208"/>
      <c r="N57" s="208"/>
      <c r="O57" s="208"/>
      <c r="P57" s="208"/>
      <c r="Q57" s="208"/>
      <c r="R57" s="208"/>
    </row>
    <row r="58" spans="2:18" ht="15.75" customHeight="1" thickBot="1">
      <c r="B58" s="215"/>
      <c r="C58" s="216"/>
      <c r="D58" s="88" t="str">
        <f>+E46</f>
        <v>Large Caps</v>
      </c>
      <c r="E58" s="89">
        <f>+E47*E56</f>
        <v>3.9835290996978856E-2</v>
      </c>
      <c r="F58" s="45"/>
      <c r="G58" s="87"/>
      <c r="H58" s="161"/>
      <c r="I58" s="45"/>
      <c r="J58" s="45"/>
      <c r="K58" s="200" t="s">
        <v>1</v>
      </c>
      <c r="L58" s="201"/>
      <c r="M58" s="201"/>
      <c r="N58" s="201"/>
      <c r="O58" s="201"/>
      <c r="P58" s="201"/>
      <c r="Q58" s="201"/>
      <c r="R58" s="202"/>
    </row>
    <row r="59" spans="2:18" ht="15" customHeight="1">
      <c r="B59" s="215"/>
      <c r="C59" s="216"/>
      <c r="D59" s="88" t="str">
        <f>+F46</f>
        <v>Medium Caps</v>
      </c>
      <c r="E59" s="89">
        <f>+F47*E56</f>
        <v>3.7253373987915402E-2</v>
      </c>
      <c r="F59" s="45"/>
      <c r="G59" s="161"/>
      <c r="H59" s="161"/>
      <c r="I59" s="45"/>
      <c r="J59" s="45"/>
      <c r="K59" s="191">
        <f>+K54+K48+K42+K36+K30+K24+K18+K12+K6</f>
        <v>5.34</v>
      </c>
      <c r="L59" s="196" t="str">
        <f>IF(K59&lt;2.6,"CONSERVATIVE",IF(K59&lt;4.2,"CAUTIOUS",IF(K59&lt;5.8,"BALANCED",IF(K59&lt;7.4,"ASSERTIVE","AGGRESSIVE"))))</f>
        <v>BALANCED</v>
      </c>
      <c r="M59" s="196"/>
      <c r="N59" s="196"/>
      <c r="O59" s="196"/>
      <c r="P59" s="196"/>
      <c r="Q59" s="196"/>
      <c r="R59" s="197"/>
    </row>
    <row r="60" spans="2:18" ht="15" customHeight="1">
      <c r="B60" s="215"/>
      <c r="C60" s="216"/>
      <c r="D60" s="88" t="str">
        <f>+G46</f>
        <v>Small Caps</v>
      </c>
      <c r="E60" s="89">
        <f>+G47*E56</f>
        <v>4.057298157099698E-2</v>
      </c>
      <c r="F60" s="45"/>
      <c r="G60" s="45"/>
      <c r="H60" s="161"/>
      <c r="I60" s="45"/>
      <c r="J60" s="45"/>
      <c r="K60" s="191"/>
      <c r="L60" s="196"/>
      <c r="M60" s="196"/>
      <c r="N60" s="196"/>
      <c r="O60" s="196"/>
      <c r="P60" s="196"/>
      <c r="Q60" s="196"/>
      <c r="R60" s="197"/>
    </row>
    <row r="61" spans="2:18" ht="15" customHeight="1" thickBot="1">
      <c r="B61" s="217"/>
      <c r="C61" s="218"/>
      <c r="D61" s="94" t="str">
        <f>+H46</f>
        <v>Foreign</v>
      </c>
      <c r="E61" s="90">
        <f>+H47*E56</f>
        <v>0.15288471000000001</v>
      </c>
      <c r="F61" s="87"/>
      <c r="G61" s="45"/>
      <c r="H61" s="45"/>
      <c r="I61" s="45"/>
      <c r="J61" s="45"/>
      <c r="K61" s="191"/>
      <c r="L61" s="196"/>
      <c r="M61" s="196"/>
      <c r="N61" s="196"/>
      <c r="O61" s="196"/>
      <c r="P61" s="196"/>
      <c r="Q61" s="196"/>
      <c r="R61" s="197"/>
    </row>
    <row r="62" spans="2:18" ht="15.75" customHeight="1" thickBot="1">
      <c r="B62" s="45"/>
      <c r="C62" s="45"/>
      <c r="D62" s="45"/>
      <c r="E62" s="73"/>
      <c r="F62" s="45"/>
      <c r="G62" s="45"/>
      <c r="H62" s="45"/>
      <c r="I62" s="45"/>
      <c r="J62" s="45"/>
      <c r="K62" s="192"/>
      <c r="L62" s="198"/>
      <c r="M62" s="198"/>
      <c r="N62" s="198"/>
      <c r="O62" s="198"/>
      <c r="P62" s="198"/>
      <c r="Q62" s="198"/>
      <c r="R62" s="199"/>
    </row>
    <row r="63" spans="2:18" ht="15.75" thickBot="1">
      <c r="B63" s="122" t="s">
        <v>45</v>
      </c>
      <c r="C63" s="45"/>
      <c r="D63" s="210" t="s">
        <v>49</v>
      </c>
      <c r="E63" s="210"/>
      <c r="F63" s="45"/>
      <c r="G63" s="45"/>
      <c r="H63" s="45"/>
      <c r="I63" s="45"/>
      <c r="J63" s="45"/>
    </row>
    <row r="64" spans="2:18" ht="15.75" thickBot="1">
      <c r="B64" s="123" t="s">
        <v>46</v>
      </c>
      <c r="C64" s="45"/>
      <c r="D64" s="140" t="s">
        <v>31</v>
      </c>
      <c r="E64" s="141">
        <f>+'Calculator } ASSET ALLOCATOR'!H6</f>
        <v>35</v>
      </c>
      <c r="F64" s="45"/>
      <c r="G64" s="45"/>
      <c r="H64" s="45"/>
      <c r="I64" s="45"/>
      <c r="J64" s="45"/>
      <c r="M64" s="80"/>
      <c r="N64" s="80"/>
    </row>
    <row r="65" spans="2:10" ht="15.75" thickBot="1">
      <c r="B65" s="121">
        <f>IF(K24=0.11,-5%,IF(K24=0.33,-15%,IF(K24=0.67,-20%,-50%)))</f>
        <v>-0.5</v>
      </c>
      <c r="C65" s="45"/>
      <c r="D65" s="140" t="s">
        <v>50</v>
      </c>
      <c r="E65" s="142">
        <f>+'Calculator } ASSET ALLOCATOR'!F6</f>
        <v>160000</v>
      </c>
      <c r="F65" s="45"/>
      <c r="G65" s="45"/>
      <c r="H65" s="45"/>
      <c r="I65" s="45"/>
      <c r="J65" s="45"/>
    </row>
    <row r="66" spans="2:10" ht="15.75" thickBot="1">
      <c r="B66" s="124" t="s">
        <v>47</v>
      </c>
      <c r="C66" s="45"/>
      <c r="D66" s="140" t="s">
        <v>52</v>
      </c>
      <c r="E66" s="142">
        <f>+'Calculator } ASSET ALLOCATOR'!G6</f>
        <v>80000</v>
      </c>
      <c r="F66" s="45"/>
      <c r="G66" s="45"/>
      <c r="H66" s="45"/>
      <c r="I66" s="45"/>
      <c r="J66" s="45"/>
    </row>
    <row r="67" spans="2:10" ht="15.75" thickBot="1">
      <c r="B67" s="125" t="s">
        <v>182</v>
      </c>
      <c r="C67" s="45"/>
      <c r="D67" s="140" t="s">
        <v>51</v>
      </c>
      <c r="E67" s="143">
        <f>+'Calculator } ASSET ALLOCATOR'!E6</f>
        <v>0</v>
      </c>
      <c r="F67" s="45"/>
      <c r="G67" s="45"/>
      <c r="H67" s="45"/>
      <c r="I67" s="45"/>
      <c r="J67" s="45"/>
    </row>
    <row r="68" spans="2:10" ht="15.75" thickBot="1">
      <c r="B68" s="121">
        <f>+I44+I45</f>
        <v>0.792825</v>
      </c>
      <c r="C68" s="45"/>
      <c r="D68" s="140" t="s">
        <v>53</v>
      </c>
      <c r="E68" s="158" t="str">
        <f>IF(K30=0.11," less then 12 mouths",IF(K30=0.33,"between 1 and 3 years",IF(K30=0.67,"between 6 and 10 years","over 10 years")))</f>
        <v>between 1 and 3 years</v>
      </c>
      <c r="F68" s="45"/>
      <c r="G68" s="45"/>
      <c r="H68" s="45"/>
      <c r="I68" s="45"/>
      <c r="J68" s="45"/>
    </row>
    <row r="69" spans="2:10" ht="15.75" thickBot="1">
      <c r="B69" s="125" t="s">
        <v>183</v>
      </c>
      <c r="C69" s="45"/>
      <c r="D69" s="140" t="s">
        <v>54</v>
      </c>
      <c r="E69" s="166">
        <f>+K59</f>
        <v>5.34</v>
      </c>
      <c r="F69" s="45"/>
      <c r="G69" s="45"/>
      <c r="H69" s="45"/>
      <c r="I69" s="45"/>
      <c r="J69" s="45"/>
    </row>
    <row r="70" spans="2:10" ht="15.75" thickBot="1">
      <c r="B70" s="121">
        <f>+I44+J45</f>
        <v>0.569075</v>
      </c>
      <c r="C70" s="45"/>
      <c r="D70" s="45"/>
      <c r="E70" s="73"/>
      <c r="F70" s="45"/>
      <c r="G70" s="45"/>
      <c r="H70" s="45"/>
      <c r="I70" s="45"/>
      <c r="J70" s="45"/>
    </row>
    <row r="71" spans="2:10" ht="15.75" thickBot="1">
      <c r="B71" s="45"/>
      <c r="C71" s="45"/>
      <c r="D71" s="45"/>
      <c r="E71" s="73"/>
      <c r="F71" s="45"/>
      <c r="G71" s="45"/>
      <c r="H71" s="45"/>
      <c r="I71" s="45"/>
      <c r="J71" s="45"/>
    </row>
    <row r="72" spans="2:10" ht="15.75" thickBot="1">
      <c r="B72" s="122" t="s">
        <v>48</v>
      </c>
      <c r="C72" s="45"/>
      <c r="D72" s="45"/>
      <c r="E72" s="73"/>
      <c r="F72" s="45"/>
      <c r="G72" s="45"/>
      <c r="H72" s="45"/>
      <c r="I72" s="45"/>
      <c r="J72" s="45"/>
    </row>
    <row r="73" spans="2:10" ht="15.75" thickBot="1">
      <c r="B73" s="123" t="s">
        <v>46</v>
      </c>
      <c r="C73" s="45"/>
      <c r="D73" s="159"/>
      <c r="E73" s="177"/>
      <c r="F73" s="45"/>
      <c r="G73" s="45"/>
      <c r="H73" s="45"/>
      <c r="I73" s="45"/>
      <c r="J73" s="45"/>
    </row>
    <row r="74" spans="2:10" ht="15.75" thickBot="1">
      <c r="B74" s="121">
        <f>IF(K24=0.11,-5%,IF(K24=0.33,-15%,IF(K24=0.67,-20%,-50%)))</f>
        <v>-0.5</v>
      </c>
      <c r="C74" s="45"/>
      <c r="D74" s="45"/>
      <c r="E74" s="73"/>
      <c r="F74" s="45"/>
      <c r="G74" s="45"/>
      <c r="H74" s="45"/>
      <c r="I74" s="45"/>
      <c r="J74" s="45"/>
    </row>
    <row r="75" spans="2:10" ht="15.75" thickBot="1">
      <c r="B75" s="124" t="s">
        <v>47</v>
      </c>
      <c r="C75" s="45"/>
      <c r="D75" s="45"/>
      <c r="E75" s="73"/>
      <c r="F75" s="45"/>
      <c r="G75" s="45"/>
      <c r="H75" s="45"/>
      <c r="I75" s="45"/>
      <c r="J75" s="45"/>
    </row>
    <row r="76" spans="2:10" ht="15.75" thickBot="1">
      <c r="B76" s="125" t="str">
        <f>+B67</f>
        <v>EQUITY PERDE 50%</v>
      </c>
      <c r="C76" s="45"/>
      <c r="D76" s="45"/>
      <c r="E76" s="73"/>
      <c r="F76" s="45"/>
      <c r="G76" s="45"/>
      <c r="H76" s="45"/>
      <c r="I76" s="45"/>
      <c r="J76" s="45"/>
    </row>
    <row r="77" spans="2:10" ht="15.75" thickBot="1">
      <c r="B77" s="121">
        <f>+I44+G45+H45</f>
        <v>0.77625000000000011</v>
      </c>
      <c r="C77" s="45"/>
      <c r="D77" s="45"/>
      <c r="E77" s="73"/>
      <c r="F77" s="45"/>
      <c r="G77" s="45"/>
      <c r="H77" s="45"/>
      <c r="I77" s="45"/>
      <c r="J77" s="45"/>
    </row>
    <row r="78" spans="2:10" ht="15.75" thickBot="1">
      <c r="B78" s="125" t="str">
        <f>+B69</f>
        <v>EQUITY PERDE 100%</v>
      </c>
      <c r="C78" s="45"/>
      <c r="D78" s="45"/>
      <c r="E78" s="45"/>
      <c r="F78" s="45"/>
      <c r="G78" s="45"/>
      <c r="H78" s="45"/>
      <c r="I78" s="45"/>
      <c r="J78" s="45"/>
    </row>
    <row r="79" spans="2:10" ht="15.75" thickBot="1">
      <c r="B79" s="121">
        <f>++I44-G44-H44</f>
        <v>0.55249999999999999</v>
      </c>
      <c r="C79" s="45"/>
      <c r="D79" s="45"/>
      <c r="E79" s="45"/>
      <c r="F79" s="45"/>
      <c r="G79" s="45"/>
      <c r="H79" s="45"/>
      <c r="I79" s="45"/>
      <c r="J79" s="45"/>
    </row>
    <row r="80" spans="2:10">
      <c r="B80" s="45"/>
      <c r="C80" s="45"/>
      <c r="D80" s="45"/>
      <c r="E80" s="45"/>
      <c r="F80" s="45"/>
      <c r="G80" s="45"/>
      <c r="H80" s="45"/>
      <c r="I80" s="45"/>
      <c r="J80" s="45"/>
    </row>
  </sheetData>
  <sheetProtection password="8EE0" sheet="1" objects="1" scenarios="1" selectLockedCells="1" selectUnlockedCells="1"/>
  <mergeCells count="68">
    <mergeCell ref="X21:AG21"/>
    <mergeCell ref="D63:E63"/>
    <mergeCell ref="T33:AK33"/>
    <mergeCell ref="V34:AI34"/>
    <mergeCell ref="B51:C61"/>
    <mergeCell ref="B37:C41"/>
    <mergeCell ref="L55:R55"/>
    <mergeCell ref="L42:R42"/>
    <mergeCell ref="L43:R43"/>
    <mergeCell ref="L44:R44"/>
    <mergeCell ref="K24:K27"/>
    <mergeCell ref="L29:R29"/>
    <mergeCell ref="L30:R30"/>
    <mergeCell ref="L31:R31"/>
    <mergeCell ref="L27:R27"/>
    <mergeCell ref="L24:R24"/>
    <mergeCell ref="T8:AK9"/>
    <mergeCell ref="T10:AK15"/>
    <mergeCell ref="T18:AK20"/>
    <mergeCell ref="L56:R56"/>
    <mergeCell ref="L57:R57"/>
    <mergeCell ref="L49:R49"/>
    <mergeCell ref="L50:R50"/>
    <mergeCell ref="L51:R51"/>
    <mergeCell ref="L53:R53"/>
    <mergeCell ref="L54:R54"/>
    <mergeCell ref="B3:I3"/>
    <mergeCell ref="K3:R3"/>
    <mergeCell ref="L6:R6"/>
    <mergeCell ref="L7:R7"/>
    <mergeCell ref="L8:R8"/>
    <mergeCell ref="L5:R5"/>
    <mergeCell ref="K6:K9"/>
    <mergeCell ref="L12:R12"/>
    <mergeCell ref="L19:R19"/>
    <mergeCell ref="L20:R20"/>
    <mergeCell ref="L21:R21"/>
    <mergeCell ref="L23:R23"/>
    <mergeCell ref="L13:R13"/>
    <mergeCell ref="L14:R14"/>
    <mergeCell ref="L15:R15"/>
    <mergeCell ref="L17:R17"/>
    <mergeCell ref="K12:K15"/>
    <mergeCell ref="K18:K21"/>
    <mergeCell ref="L9:R9"/>
    <mergeCell ref="L59:R62"/>
    <mergeCell ref="K58:R58"/>
    <mergeCell ref="K30:K33"/>
    <mergeCell ref="K36:K39"/>
    <mergeCell ref="K42:K45"/>
    <mergeCell ref="K48:K51"/>
    <mergeCell ref="L11:R11"/>
    <mergeCell ref="L25:R25"/>
    <mergeCell ref="L26:R26"/>
    <mergeCell ref="L45:R45"/>
    <mergeCell ref="L47:R47"/>
    <mergeCell ref="L35:R35"/>
    <mergeCell ref="L18:R18"/>
    <mergeCell ref="L37:R37"/>
    <mergeCell ref="L38:R38"/>
    <mergeCell ref="L39:R39"/>
    <mergeCell ref="L41:R41"/>
    <mergeCell ref="L36:R36"/>
    <mergeCell ref="K54:K57"/>
    <mergeCell ref="K59:K62"/>
    <mergeCell ref="L32:R32"/>
    <mergeCell ref="L33:R33"/>
    <mergeCell ref="L48:R48"/>
  </mergeCells>
  <conditionalFormatting sqref="K59:K62">
    <cfRule type="colorScale" priority="2">
      <colorScale>
        <cfvo type="num" val="0"/>
        <cfvo type="num" val="18"/>
        <cfvo type="num" val="36"/>
        <color rgb="FF92D050"/>
        <color rgb="FFFFC000"/>
        <color rgb="FFFF0000"/>
      </colorScale>
    </cfRule>
  </conditionalFormatting>
  <pageMargins left="0.7" right="0.7" top="0.75" bottom="0.75" header="0.3" footer="0.3"/>
  <pageSetup paperSize="9" orientation="portrait" horizontalDpi="4294967293" r:id="rId1"/>
</worksheet>
</file>

<file path=xl/worksheets/sheet2.xml><?xml version="1.0" encoding="utf-8"?>
<worksheet xmlns="http://schemas.openxmlformats.org/spreadsheetml/2006/main" xmlns:r="http://schemas.openxmlformats.org/officeDocument/2006/relationships">
  <dimension ref="B1:AE70"/>
  <sheetViews>
    <sheetView showGridLines="0" showRowColHeaders="0" tabSelected="1" workbookViewId="0">
      <selection activeCell="G25" sqref="G25"/>
    </sheetView>
  </sheetViews>
  <sheetFormatPr defaultRowHeight="15"/>
  <cols>
    <col min="1" max="1" width="3" style="1" customWidth="1"/>
    <col min="2" max="3" width="4.7109375" style="1" customWidth="1"/>
    <col min="4" max="5" width="9.140625" style="1" customWidth="1"/>
    <col min="6" max="8" width="9.140625" style="1"/>
    <col min="9" max="9" width="9.140625" style="1" customWidth="1"/>
    <col min="10" max="11" width="4.7109375" style="1" customWidth="1"/>
    <col min="12" max="19" width="9.28515625" style="1" customWidth="1"/>
    <col min="20" max="20" width="9.140625" style="1" customWidth="1"/>
    <col min="21" max="22" width="4.7109375" style="1" customWidth="1"/>
    <col min="23" max="23" width="3" style="1" customWidth="1"/>
    <col min="24" max="24" width="11.85546875" style="1" hidden="1" customWidth="1"/>
    <col min="25" max="31" width="9.140625" style="1" hidden="1" customWidth="1"/>
    <col min="32" max="16384" width="9.140625" style="1"/>
  </cols>
  <sheetData>
    <row r="1" spans="2:31" ht="15.75" thickBot="1"/>
    <row r="2" spans="2:31" ht="26.25">
      <c r="B2" s="252" t="s">
        <v>177</v>
      </c>
      <c r="C2" s="253"/>
      <c r="D2" s="253"/>
      <c r="E2" s="253"/>
      <c r="F2" s="253"/>
      <c r="G2" s="253"/>
      <c r="H2" s="253"/>
      <c r="I2" s="253"/>
      <c r="J2" s="253"/>
      <c r="K2" s="253"/>
      <c r="L2" s="253"/>
      <c r="M2" s="253"/>
      <c r="N2" s="253"/>
      <c r="O2" s="253"/>
      <c r="P2" s="253"/>
      <c r="Q2" s="253"/>
      <c r="R2" s="253"/>
      <c r="S2" s="253"/>
      <c r="T2" s="253"/>
      <c r="U2" s="253"/>
      <c r="V2" s="254"/>
      <c r="X2" s="204" t="s">
        <v>3</v>
      </c>
      <c r="Y2" s="204"/>
      <c r="Z2" s="204"/>
      <c r="AA2" s="204"/>
      <c r="AB2" s="204"/>
      <c r="AC2" s="204"/>
      <c r="AD2" s="204"/>
      <c r="AE2" s="204"/>
    </row>
    <row r="3" spans="2:31" ht="23.25">
      <c r="B3" s="255" t="s">
        <v>55</v>
      </c>
      <c r="C3" s="256"/>
      <c r="D3" s="256"/>
      <c r="E3" s="256"/>
      <c r="F3" s="256"/>
      <c r="G3" s="256"/>
      <c r="H3" s="256"/>
      <c r="I3" s="256"/>
      <c r="J3" s="256"/>
      <c r="K3" s="256"/>
      <c r="L3" s="256"/>
      <c r="M3" s="256"/>
      <c r="N3" s="256"/>
      <c r="O3" s="256"/>
      <c r="P3" s="256"/>
      <c r="Q3" s="256"/>
      <c r="R3" s="256"/>
      <c r="S3" s="256"/>
      <c r="T3" s="256"/>
      <c r="U3" s="256"/>
      <c r="V3" s="257"/>
      <c r="X3" s="45"/>
      <c r="Y3" s="45"/>
      <c r="Z3" s="45"/>
      <c r="AA3" s="45"/>
      <c r="AB3" s="45"/>
      <c r="AC3" s="45"/>
      <c r="AD3" s="45"/>
      <c r="AE3" s="45"/>
    </row>
    <row r="4" spans="2:31" ht="15.75" customHeight="1">
      <c r="B4" s="2"/>
      <c r="C4" s="3"/>
      <c r="D4" s="3"/>
      <c r="E4" s="3"/>
      <c r="F4" s="3"/>
      <c r="G4" s="3"/>
      <c r="H4" s="3"/>
      <c r="I4" s="3"/>
      <c r="J4" s="3"/>
      <c r="K4" s="3"/>
      <c r="L4" s="3"/>
      <c r="M4" s="3"/>
      <c r="N4" s="3"/>
      <c r="O4" s="3"/>
      <c r="P4" s="3"/>
      <c r="Q4" s="3"/>
      <c r="R4" s="3"/>
      <c r="S4" s="3"/>
      <c r="T4" s="3"/>
      <c r="U4" s="3"/>
      <c r="V4" s="4"/>
      <c r="X4" s="151">
        <v>1</v>
      </c>
      <c r="Y4" s="228" t="str">
        <f>+BRAINOV!L5</f>
        <v>Indicate the general level of investment risk you are willing to accept.</v>
      </c>
      <c r="Z4" s="228"/>
      <c r="AA4" s="228"/>
      <c r="AB4" s="228"/>
      <c r="AC4" s="228"/>
      <c r="AD4" s="228"/>
      <c r="AE4" s="228"/>
    </row>
    <row r="5" spans="2:31" ht="19.5" customHeight="1">
      <c r="B5" s="2"/>
      <c r="C5" s="11"/>
      <c r="D5" s="3"/>
      <c r="E5" s="145" t="s">
        <v>59</v>
      </c>
      <c r="F5" s="144" t="s">
        <v>63</v>
      </c>
      <c r="G5" s="144" t="s">
        <v>60</v>
      </c>
      <c r="H5" s="146" t="s">
        <v>61</v>
      </c>
      <c r="I5" s="3"/>
      <c r="J5" s="3"/>
      <c r="K5" s="3"/>
      <c r="L5" s="231" t="s">
        <v>105</v>
      </c>
      <c r="M5" s="231"/>
      <c r="N5" s="231"/>
      <c r="O5" s="231"/>
      <c r="P5" s="231"/>
      <c r="Q5" s="231"/>
      <c r="S5" s="165" t="s">
        <v>132</v>
      </c>
      <c r="T5" s="3"/>
      <c r="U5" s="3"/>
      <c r="V5" s="4"/>
      <c r="X5" s="152" t="s">
        <v>4</v>
      </c>
      <c r="Y5" s="226" t="str">
        <f>+BRAINOV!L6</f>
        <v>Low risk</v>
      </c>
      <c r="Z5" s="226"/>
      <c r="AA5" s="226"/>
      <c r="AB5" s="226"/>
      <c r="AC5" s="226"/>
      <c r="AD5" s="226"/>
      <c r="AE5" s="226"/>
    </row>
    <row r="6" spans="2:31" ht="15.75" customHeight="1">
      <c r="B6" s="2"/>
      <c r="C6" s="3"/>
      <c r="D6" s="3"/>
      <c r="E6" s="65">
        <v>0</v>
      </c>
      <c r="F6" s="157">
        <v>160000</v>
      </c>
      <c r="G6" s="157">
        <v>80000</v>
      </c>
      <c r="H6" s="66">
        <v>35</v>
      </c>
      <c r="I6" s="3"/>
      <c r="J6" s="3"/>
      <c r="K6" s="3"/>
      <c r="L6" s="3"/>
      <c r="M6" s="3"/>
      <c r="N6" s="3"/>
      <c r="O6" s="3"/>
      <c r="P6" s="3"/>
      <c r="Q6" s="3"/>
      <c r="R6" s="3"/>
      <c r="S6" s="3"/>
      <c r="T6" s="3"/>
      <c r="U6" s="3"/>
      <c r="V6" s="4"/>
      <c r="X6" s="153" t="s">
        <v>5</v>
      </c>
      <c r="Y6" s="226" t="str">
        <f>+BRAINOV!L7</f>
        <v>Low to medium risk</v>
      </c>
      <c r="Z6" s="226"/>
      <c r="AA6" s="226"/>
      <c r="AB6" s="226"/>
      <c r="AC6" s="226"/>
      <c r="AD6" s="226"/>
      <c r="AE6" s="226"/>
    </row>
    <row r="7" spans="2:31" ht="15.95" customHeight="1">
      <c r="B7" s="2"/>
      <c r="C7" s="3"/>
      <c r="D7" s="3"/>
      <c r="E7" s="11"/>
      <c r="F7" s="11"/>
      <c r="G7" s="11"/>
      <c r="H7" s="11"/>
      <c r="I7" s="3"/>
      <c r="J7" s="3"/>
      <c r="K7" s="3"/>
      <c r="L7" s="234" t="str">
        <f>+Y4</f>
        <v>Indicate the general level of investment risk you are willing to accept.</v>
      </c>
      <c r="M7" s="234"/>
      <c r="N7" s="234"/>
      <c r="O7" s="234"/>
      <c r="P7" s="234"/>
      <c r="Q7" s="234"/>
      <c r="R7" s="234"/>
      <c r="S7" s="234"/>
      <c r="T7" s="3"/>
      <c r="U7" s="3"/>
      <c r="V7" s="4"/>
      <c r="X7" s="152" t="s">
        <v>6</v>
      </c>
      <c r="Y7" s="226" t="str">
        <f>+BRAINOV!L8</f>
        <v>Medium to high risk</v>
      </c>
      <c r="Z7" s="226"/>
      <c r="AA7" s="226"/>
      <c r="AB7" s="226"/>
      <c r="AC7" s="226"/>
      <c r="AD7" s="226"/>
      <c r="AE7" s="226"/>
    </row>
    <row r="8" spans="2:31" ht="15.95" customHeight="1" thickBot="1">
      <c r="B8" s="2"/>
      <c r="C8" s="3"/>
      <c r="D8" s="3"/>
      <c r="E8" s="260" t="s">
        <v>64</v>
      </c>
      <c r="F8" s="260"/>
      <c r="G8" s="260"/>
      <c r="H8" s="260"/>
      <c r="I8" s="3"/>
      <c r="J8" s="3"/>
      <c r="K8" s="3"/>
      <c r="L8" s="235" t="s">
        <v>67</v>
      </c>
      <c r="M8" s="235"/>
      <c r="N8" s="235"/>
      <c r="O8" s="235"/>
      <c r="P8" s="235"/>
      <c r="Q8" s="235"/>
      <c r="R8" s="235"/>
      <c r="S8" s="235"/>
      <c r="T8" s="3"/>
      <c r="U8" s="3"/>
      <c r="V8" s="4"/>
      <c r="X8" s="152" t="s">
        <v>7</v>
      </c>
      <c r="Y8" s="226" t="str">
        <f>+BRAINOV!L9</f>
        <v>High risk</v>
      </c>
      <c r="Z8" s="226"/>
      <c r="AA8" s="226"/>
      <c r="AB8" s="226"/>
      <c r="AC8" s="226"/>
      <c r="AD8" s="226"/>
      <c r="AE8" s="226"/>
    </row>
    <row r="9" spans="2:31" ht="15.95" customHeight="1">
      <c r="B9" s="2"/>
      <c r="C9" s="5"/>
      <c r="D9" s="5"/>
      <c r="E9" s="265">
        <f>+X59</f>
        <v>5.34</v>
      </c>
      <c r="F9" s="240" t="str">
        <f>+Y59</f>
        <v>BALANCED</v>
      </c>
      <c r="G9" s="240"/>
      <c r="H9" s="241"/>
      <c r="I9" s="5"/>
      <c r="J9" s="5"/>
      <c r="K9" s="5"/>
      <c r="L9" s="147"/>
      <c r="M9" s="147"/>
      <c r="N9" s="147"/>
      <c r="O9" s="147"/>
      <c r="P9" s="147"/>
      <c r="Q9" s="147"/>
      <c r="R9" s="147"/>
      <c r="S9" s="147"/>
      <c r="T9" s="3"/>
      <c r="U9" s="3"/>
      <c r="V9" s="4"/>
      <c r="X9" s="154"/>
      <c r="Y9" s="148"/>
      <c r="Z9" s="148"/>
      <c r="AA9" s="148"/>
      <c r="AB9" s="148"/>
      <c r="AC9" s="148"/>
      <c r="AD9" s="148"/>
      <c r="AE9" s="148"/>
    </row>
    <row r="10" spans="2:31" ht="15.95" customHeight="1" thickBot="1">
      <c r="B10" s="2"/>
      <c r="C10" s="5"/>
      <c r="D10" s="5"/>
      <c r="E10" s="266"/>
      <c r="F10" s="242"/>
      <c r="G10" s="242"/>
      <c r="H10" s="243"/>
      <c r="I10" s="5"/>
      <c r="J10" s="5"/>
      <c r="K10" s="5"/>
      <c r="L10" s="234" t="str">
        <f>+Y10</f>
        <v>How familiar are you with investment markets?</v>
      </c>
      <c r="M10" s="234"/>
      <c r="N10" s="234"/>
      <c r="O10" s="234"/>
      <c r="P10" s="234"/>
      <c r="Q10" s="234"/>
      <c r="R10" s="234"/>
      <c r="S10" s="234"/>
      <c r="T10" s="3"/>
      <c r="U10" s="3"/>
      <c r="V10" s="4"/>
      <c r="X10" s="151">
        <v>2</v>
      </c>
      <c r="Y10" s="228" t="str">
        <f>+BRAINOV!L11</f>
        <v>How familiar are you with investment markets?</v>
      </c>
      <c r="Z10" s="228"/>
      <c r="AA10" s="228"/>
      <c r="AB10" s="228"/>
      <c r="AC10" s="228"/>
      <c r="AD10" s="228"/>
      <c r="AE10" s="228"/>
    </row>
    <row r="11" spans="2:31" ht="15.95" customHeight="1">
      <c r="B11" s="2"/>
      <c r="C11" s="5"/>
      <c r="D11" s="5"/>
      <c r="E11" s="12"/>
      <c r="F11" s="12"/>
      <c r="G11" s="12"/>
      <c r="H11" s="12"/>
      <c r="I11" s="5"/>
      <c r="J11" s="5"/>
      <c r="K11" s="5"/>
      <c r="L11" s="235" t="s">
        <v>94</v>
      </c>
      <c r="M11" s="235"/>
      <c r="N11" s="235"/>
      <c r="O11" s="235"/>
      <c r="P11" s="235"/>
      <c r="Q11" s="235"/>
      <c r="R11" s="235"/>
      <c r="S11" s="235"/>
      <c r="T11" s="3"/>
      <c r="U11" s="3"/>
      <c r="V11" s="4"/>
      <c r="X11" s="152" t="s">
        <v>4</v>
      </c>
      <c r="Y11" s="226" t="str">
        <f>+BRAINOV!L12</f>
        <v>Very little understanding or interest.</v>
      </c>
      <c r="Z11" s="226"/>
      <c r="AA11" s="226"/>
      <c r="AB11" s="226"/>
      <c r="AC11" s="226"/>
      <c r="AD11" s="226"/>
      <c r="AE11" s="226"/>
    </row>
    <row r="12" spans="2:31" ht="15.95" customHeight="1">
      <c r="B12" s="2"/>
      <c r="E12" s="98"/>
      <c r="F12" s="98"/>
      <c r="G12" s="98"/>
      <c r="K12" s="5"/>
      <c r="L12" s="147"/>
      <c r="M12" s="147"/>
      <c r="N12" s="147"/>
      <c r="O12" s="147"/>
      <c r="P12" s="147"/>
      <c r="Q12" s="147"/>
      <c r="R12" s="147"/>
      <c r="S12" s="147"/>
      <c r="T12" s="3"/>
      <c r="U12" s="3"/>
      <c r="V12" s="4"/>
      <c r="X12" s="153" t="s">
        <v>5</v>
      </c>
      <c r="Y12" s="226" t="str">
        <f>+BRAINOV!L13</f>
        <v>Not very familiar.</v>
      </c>
      <c r="Z12" s="226"/>
      <c r="AA12" s="226"/>
      <c r="AB12" s="226"/>
      <c r="AC12" s="226"/>
      <c r="AD12" s="226"/>
      <c r="AE12" s="226"/>
    </row>
    <row r="13" spans="2:31" ht="15.95" customHeight="1">
      <c r="B13" s="2"/>
      <c r="E13" s="96" t="str">
        <f>+BRAINOV!D51</f>
        <v>Fixed Income</v>
      </c>
      <c r="F13" s="97">
        <f>+BRAINOV!E51</f>
        <v>2.9996999999999999E-2</v>
      </c>
      <c r="G13" s="99"/>
      <c r="K13" s="5"/>
      <c r="L13" s="234" t="str">
        <f>+Y16</f>
        <v>Which of the following best describes your investment objectives &amp; temperament?</v>
      </c>
      <c r="M13" s="234"/>
      <c r="N13" s="234"/>
      <c r="O13" s="234"/>
      <c r="P13" s="234"/>
      <c r="Q13" s="234"/>
      <c r="R13" s="234"/>
      <c r="S13" s="234"/>
      <c r="T13" s="3"/>
      <c r="U13" s="3"/>
      <c r="V13" s="4"/>
      <c r="X13" s="152" t="s">
        <v>6</v>
      </c>
      <c r="Y13" s="226" t="str">
        <f>+BRAINOV!L14</f>
        <v>I understand that markets fluctuate and that different market sectors offer different income, growth and taxation characteristics.</v>
      </c>
      <c r="Z13" s="226"/>
      <c r="AA13" s="226"/>
      <c r="AB13" s="226"/>
      <c r="AC13" s="226"/>
      <c r="AD13" s="226"/>
      <c r="AE13" s="226"/>
    </row>
    <row r="14" spans="2:31" ht="15.95" customHeight="1">
      <c r="B14" s="2"/>
      <c r="E14" s="96" t="str">
        <f>+BRAINOV!D52</f>
        <v>Real Assets</v>
      </c>
      <c r="F14" s="97">
        <f>+BRAINOV!E52</f>
        <v>0.26997300000000002</v>
      </c>
      <c r="G14" s="99"/>
      <c r="K14" s="5"/>
      <c r="L14" s="235" t="s">
        <v>81</v>
      </c>
      <c r="M14" s="235"/>
      <c r="N14" s="235"/>
      <c r="O14" s="235"/>
      <c r="P14" s="235"/>
      <c r="Q14" s="235"/>
      <c r="R14" s="235"/>
      <c r="S14" s="235"/>
      <c r="T14" s="3"/>
      <c r="U14" s="3"/>
      <c r="V14" s="4"/>
      <c r="X14" s="152" t="s">
        <v>7</v>
      </c>
      <c r="Y14" s="226" t="str">
        <f>+BRAINOV!L15</f>
        <v>I am experienced with all investment sectors and understand the various factors which influence performance.</v>
      </c>
      <c r="Z14" s="226"/>
      <c r="AA14" s="226"/>
      <c r="AB14" s="226"/>
      <c r="AC14" s="226"/>
      <c r="AD14" s="226"/>
      <c r="AE14" s="226"/>
    </row>
    <row r="15" spans="2:31" ht="15.95" customHeight="1">
      <c r="B15" s="2"/>
      <c r="C15" s="5"/>
      <c r="D15" s="5"/>
      <c r="E15" s="96" t="str">
        <f>+BRAINOV!D53</f>
        <v>Absolute Return</v>
      </c>
      <c r="F15" s="97">
        <f>+BRAINOV!E53</f>
        <v>0.25247475000000003</v>
      </c>
      <c r="G15" s="13"/>
      <c r="H15" s="13"/>
      <c r="I15" s="5"/>
      <c r="J15" s="5"/>
      <c r="K15" s="5"/>
      <c r="L15" s="147"/>
      <c r="M15" s="147"/>
      <c r="N15" s="147"/>
      <c r="O15" s="147"/>
      <c r="P15" s="147"/>
      <c r="Q15" s="147"/>
      <c r="R15" s="147"/>
      <c r="S15" s="147"/>
      <c r="T15" s="3"/>
      <c r="U15" s="3"/>
      <c r="V15" s="4"/>
      <c r="X15" s="154"/>
      <c r="Y15" s="148"/>
      <c r="Z15" s="148"/>
      <c r="AA15" s="148"/>
      <c r="AB15" s="148"/>
      <c r="AC15" s="148"/>
      <c r="AD15" s="148"/>
      <c r="AE15" s="148"/>
    </row>
    <row r="16" spans="2:31" ht="15.95" customHeight="1">
      <c r="B16" s="2"/>
      <c r="C16" s="5"/>
      <c r="D16" s="5"/>
      <c r="E16" s="96" t="str">
        <f>+BRAINOV!D54</f>
        <v>Private Equity</v>
      </c>
      <c r="F16" s="97">
        <f>+BRAINOV!E54</f>
        <v>0.17248274999999999</v>
      </c>
      <c r="G16" s="99"/>
      <c r="H16" s="14"/>
      <c r="I16" s="5"/>
      <c r="J16" s="5"/>
      <c r="K16" s="5"/>
      <c r="L16" s="234" t="str">
        <f>+Y22</f>
        <v>What level of fluctuation would you generally be comfortable with?</v>
      </c>
      <c r="M16" s="234"/>
      <c r="N16" s="234"/>
      <c r="O16" s="234"/>
      <c r="P16" s="234"/>
      <c r="Q16" s="234"/>
      <c r="R16" s="234"/>
      <c r="S16" s="234"/>
      <c r="T16" s="3"/>
      <c r="U16" s="3"/>
      <c r="V16" s="4"/>
      <c r="X16" s="151">
        <v>3</v>
      </c>
      <c r="Y16" s="228" t="str">
        <f>+BRAINOV!L17</f>
        <v>Which of the following best describes your investment objectives &amp; temperament?</v>
      </c>
      <c r="Z16" s="228"/>
      <c r="AA16" s="228"/>
      <c r="AB16" s="228"/>
      <c r="AC16" s="228"/>
      <c r="AD16" s="228"/>
      <c r="AE16" s="228"/>
    </row>
    <row r="17" spans="2:31" ht="15.95" customHeight="1">
      <c r="B17" s="2"/>
      <c r="C17" s="5"/>
      <c r="D17" s="5"/>
      <c r="E17" s="96" t="str">
        <f>+BRAINOV!D55</f>
        <v>Cash</v>
      </c>
      <c r="F17" s="97">
        <f>+BRAINOV!E55</f>
        <v>1E-4</v>
      </c>
      <c r="G17" s="12"/>
      <c r="H17" s="5"/>
      <c r="I17" s="5"/>
      <c r="J17" s="5"/>
      <c r="K17" s="5"/>
      <c r="L17" s="235" t="s">
        <v>75</v>
      </c>
      <c r="M17" s="235"/>
      <c r="N17" s="235"/>
      <c r="O17" s="235"/>
      <c r="P17" s="235"/>
      <c r="Q17" s="235"/>
      <c r="R17" s="235"/>
      <c r="S17" s="235"/>
      <c r="T17" s="3"/>
      <c r="U17" s="3"/>
      <c r="V17" s="4"/>
      <c r="X17" s="152" t="s">
        <v>4</v>
      </c>
      <c r="Y17" s="226" t="str">
        <f>+BRAINOV!L18</f>
        <v>Preservation of capital without losing any capital.</v>
      </c>
      <c r="Z17" s="226"/>
      <c r="AA17" s="226"/>
      <c r="AB17" s="226"/>
      <c r="AC17" s="226"/>
      <c r="AD17" s="226"/>
      <c r="AE17" s="226"/>
    </row>
    <row r="18" spans="2:31" ht="15.95" customHeight="1">
      <c r="B18" s="2"/>
      <c r="C18" s="3"/>
      <c r="D18" s="3"/>
      <c r="E18" s="96" t="str">
        <f>+BRAINOV!D56</f>
        <v>Equity</v>
      </c>
      <c r="F18" s="97">
        <f>+BRAINOV!E56</f>
        <v>0.27497250000000001</v>
      </c>
      <c r="G18" s="99"/>
      <c r="H18" s="3"/>
      <c r="I18" s="3"/>
      <c r="J18" s="3"/>
      <c r="K18" s="3"/>
      <c r="L18" s="147"/>
      <c r="M18" s="147"/>
      <c r="N18" s="147"/>
      <c r="O18" s="147"/>
      <c r="P18" s="147"/>
      <c r="Q18" s="147"/>
      <c r="R18" s="147"/>
      <c r="S18" s="147"/>
      <c r="T18" s="3"/>
      <c r="U18" s="3"/>
      <c r="V18" s="4"/>
      <c r="X18" s="153" t="s">
        <v>5</v>
      </c>
      <c r="Y18" s="226" t="str">
        <f>+BRAINOV!L19</f>
        <v>A combination of preservation of capital, and capital appreciation, with the primary consideration being preservation of capital.</v>
      </c>
      <c r="Z18" s="226"/>
      <c r="AA18" s="226"/>
      <c r="AB18" s="226"/>
      <c r="AC18" s="226"/>
      <c r="AD18" s="226"/>
      <c r="AE18" s="226"/>
    </row>
    <row r="19" spans="2:31" ht="15.95" customHeight="1">
      <c r="B19" s="2"/>
      <c r="C19" s="3"/>
      <c r="D19" s="3"/>
      <c r="E19" s="99"/>
      <c r="F19" s="99"/>
      <c r="G19" s="99"/>
      <c r="H19" s="3"/>
      <c r="I19" s="3"/>
      <c r="J19" s="3"/>
      <c r="K19" s="3"/>
      <c r="L19" s="234" t="str">
        <f>+Y28</f>
        <v>What time horizon would you be comfortable with when investing in products the value of which can fluctuate?</v>
      </c>
      <c r="M19" s="234"/>
      <c r="N19" s="234"/>
      <c r="O19" s="234"/>
      <c r="P19" s="234"/>
      <c r="Q19" s="234"/>
      <c r="R19" s="234"/>
      <c r="S19" s="234"/>
      <c r="T19" s="3"/>
      <c r="U19" s="3"/>
      <c r="V19" s="4"/>
      <c r="X19" s="152" t="s">
        <v>6</v>
      </c>
      <c r="Y19" s="226" t="str">
        <f>+BRAINOV!L20</f>
        <v>A combination of capital appreciation and current income, with the primary consideration being growth of capital.</v>
      </c>
      <c r="Z19" s="226"/>
      <c r="AA19" s="226"/>
      <c r="AB19" s="226"/>
      <c r="AC19" s="226"/>
      <c r="AD19" s="226"/>
      <c r="AE19" s="226"/>
    </row>
    <row r="20" spans="2:31" ht="15.95" customHeight="1">
      <c r="B20" s="2"/>
      <c r="C20" s="3"/>
      <c r="D20" s="3"/>
      <c r="E20" s="100"/>
      <c r="F20" s="100"/>
      <c r="G20" s="100"/>
      <c r="H20" s="3"/>
      <c r="I20" s="3"/>
      <c r="J20" s="3"/>
      <c r="K20" s="3"/>
      <c r="L20" s="235" t="s">
        <v>77</v>
      </c>
      <c r="M20" s="235"/>
      <c r="N20" s="235"/>
      <c r="O20" s="235"/>
      <c r="P20" s="235"/>
      <c r="Q20" s="235"/>
      <c r="R20" s="235"/>
      <c r="S20" s="235"/>
      <c r="T20" s="3"/>
      <c r="U20" s="3"/>
      <c r="V20" s="4"/>
      <c r="X20" s="152" t="s">
        <v>7</v>
      </c>
      <c r="Y20" s="226" t="str">
        <f>+BRAINOV!L21</f>
        <v>Maximum capital appreciation (long-term growth), accepting higher risk and volatility.</v>
      </c>
      <c r="Z20" s="226"/>
      <c r="AA20" s="226"/>
      <c r="AB20" s="226"/>
      <c r="AC20" s="226"/>
      <c r="AD20" s="226"/>
      <c r="AE20" s="226"/>
    </row>
    <row r="21" spans="2:31" ht="15.95" customHeight="1">
      <c r="B21" s="2"/>
      <c r="C21" s="3"/>
      <c r="D21" s="3"/>
      <c r="E21" s="3"/>
      <c r="F21" s="261"/>
      <c r="G21" s="261"/>
      <c r="H21" s="3"/>
      <c r="I21" s="3"/>
      <c r="J21" s="3"/>
      <c r="K21" s="3"/>
      <c r="L21" s="147"/>
      <c r="M21" s="147"/>
      <c r="N21" s="147"/>
      <c r="O21" s="147"/>
      <c r="P21" s="147"/>
      <c r="Q21" s="147"/>
      <c r="R21" s="147"/>
      <c r="S21" s="147"/>
      <c r="T21" s="3"/>
      <c r="U21" s="3"/>
      <c r="V21" s="4"/>
      <c r="X21" s="154"/>
      <c r="Y21" s="148"/>
      <c r="Z21" s="148"/>
      <c r="AA21" s="148"/>
      <c r="AB21" s="148"/>
      <c r="AC21" s="148"/>
      <c r="AD21" s="148"/>
      <c r="AE21" s="148"/>
    </row>
    <row r="22" spans="2:31" ht="15.95" customHeight="1" thickBot="1">
      <c r="B22" s="2"/>
      <c r="C22" s="3"/>
      <c r="D22" s="3"/>
      <c r="E22" s="3"/>
      <c r="F22" s="3"/>
      <c r="G22" s="3"/>
      <c r="H22" s="3"/>
      <c r="I22" s="3"/>
      <c r="J22" s="3"/>
      <c r="K22" s="3"/>
      <c r="L22" s="234" t="str">
        <f>+Y34</f>
        <v>I plan to begin withdrawing money from my investments within:</v>
      </c>
      <c r="M22" s="234"/>
      <c r="N22" s="234"/>
      <c r="O22" s="234"/>
      <c r="P22" s="234"/>
      <c r="Q22" s="234"/>
      <c r="R22" s="234"/>
      <c r="S22" s="234"/>
      <c r="T22" s="3"/>
      <c r="U22" s="3"/>
      <c r="V22" s="4"/>
      <c r="X22" s="151">
        <v>4</v>
      </c>
      <c r="Y22" s="228" t="str">
        <f>+BRAINOV!L23</f>
        <v>What level of fluctuation would you generally be comfortable with?</v>
      </c>
      <c r="Z22" s="228"/>
      <c r="AA22" s="228"/>
      <c r="AB22" s="228"/>
      <c r="AC22" s="228"/>
      <c r="AD22" s="228"/>
      <c r="AE22" s="228"/>
    </row>
    <row r="23" spans="2:31" ht="15.95" customHeight="1" thickBot="1">
      <c r="B23" s="2"/>
      <c r="C23" s="258" t="s">
        <v>113</v>
      </c>
      <c r="D23" s="259"/>
      <c r="E23" s="259"/>
      <c r="F23" s="81">
        <f>+BRAINOV!D44*(100%-G25)</f>
        <v>2.9996999999999999E-2</v>
      </c>
      <c r="G23" s="81">
        <f>+BRAINOV!E44*(100%-G25)</f>
        <v>0.26997300000000002</v>
      </c>
      <c r="H23" s="262" t="s">
        <v>112</v>
      </c>
      <c r="I23" s="263"/>
      <c r="J23" s="264"/>
      <c r="K23" s="3"/>
      <c r="L23" s="235" t="s">
        <v>86</v>
      </c>
      <c r="M23" s="235"/>
      <c r="N23" s="235"/>
      <c r="O23" s="235"/>
      <c r="P23" s="235"/>
      <c r="Q23" s="235"/>
      <c r="R23" s="235"/>
      <c r="S23" s="235"/>
      <c r="T23" s="3"/>
      <c r="U23" s="3"/>
      <c r="V23" s="4"/>
      <c r="X23" s="152" t="s">
        <v>4</v>
      </c>
      <c r="Y23" s="226" t="str">
        <f>+BRAINOV!L24</f>
        <v>Fluctuates between -5% and +5%</v>
      </c>
      <c r="Z23" s="226"/>
      <c r="AA23" s="226"/>
      <c r="AB23" s="226"/>
      <c r="AC23" s="226"/>
      <c r="AD23" s="226"/>
      <c r="AE23" s="226"/>
    </row>
    <row r="24" spans="2:31" ht="15.95" customHeight="1" thickBot="1">
      <c r="B24" s="2"/>
      <c r="C24" s="232" t="s">
        <v>111</v>
      </c>
      <c r="D24" s="233"/>
      <c r="E24" s="233"/>
      <c r="F24" s="81">
        <f>+BRAINOV!F44*(100%-G25)</f>
        <v>0.25247475000000003</v>
      </c>
      <c r="G24" s="81">
        <f>+BRAINOV!G44*(100%-G25)</f>
        <v>0.27497250000000001</v>
      </c>
      <c r="H24" s="244" t="s">
        <v>168</v>
      </c>
      <c r="I24" s="245"/>
      <c r="J24" s="246"/>
      <c r="K24" s="3"/>
      <c r="L24" s="147"/>
      <c r="M24" s="147"/>
      <c r="N24" s="147"/>
      <c r="O24" s="147"/>
      <c r="P24" s="147"/>
      <c r="Q24" s="147"/>
      <c r="R24" s="147"/>
      <c r="S24" s="147"/>
      <c r="T24" s="3"/>
      <c r="U24" s="3"/>
      <c r="V24" s="4"/>
      <c r="X24" s="153" t="s">
        <v>5</v>
      </c>
      <c r="Y24" s="226" t="str">
        <f>+BRAINOV!L25</f>
        <v>Fluctuates between -15% and +15%</v>
      </c>
      <c r="Z24" s="226"/>
      <c r="AA24" s="226"/>
      <c r="AB24" s="226"/>
      <c r="AC24" s="226"/>
      <c r="AD24" s="226"/>
      <c r="AE24" s="226"/>
    </row>
    <row r="25" spans="2:31" ht="15.95" customHeight="1" thickBot="1">
      <c r="B25" s="2"/>
      <c r="C25" s="247" t="s">
        <v>116</v>
      </c>
      <c r="D25" s="248"/>
      <c r="E25" s="248"/>
      <c r="F25" s="81">
        <f>+BRAINOV!H44*(100%-G25)</f>
        <v>0.17248274999999999</v>
      </c>
      <c r="G25" s="95">
        <v>1E-4</v>
      </c>
      <c r="H25" s="249" t="s">
        <v>114</v>
      </c>
      <c r="I25" s="250"/>
      <c r="J25" s="251"/>
      <c r="K25" s="3"/>
      <c r="L25" s="234" t="str">
        <f>+Y40</f>
        <v>What would your reaction be if your long-term investment has decreased in value by 20%?</v>
      </c>
      <c r="M25" s="234"/>
      <c r="N25" s="234"/>
      <c r="O25" s="234"/>
      <c r="P25" s="234"/>
      <c r="Q25" s="234"/>
      <c r="R25" s="234"/>
      <c r="S25" s="234"/>
      <c r="T25" s="3"/>
      <c r="U25" s="3"/>
      <c r="V25" s="4"/>
      <c r="X25" s="152" t="s">
        <v>6</v>
      </c>
      <c r="Y25" s="226" t="str">
        <f>+BRAINOV!L26</f>
        <v>Fluctuates between -20% and +20%</v>
      </c>
      <c r="Z25" s="226"/>
      <c r="AA25" s="226"/>
      <c r="AB25" s="226"/>
      <c r="AC25" s="226"/>
      <c r="AD25" s="226"/>
      <c r="AE25" s="226"/>
    </row>
    <row r="26" spans="2:31" ht="15.95" customHeight="1">
      <c r="B26" s="2"/>
      <c r="C26" s="3"/>
      <c r="D26" s="3"/>
      <c r="E26" s="3"/>
      <c r="F26" s="3"/>
      <c r="G26" s="3"/>
      <c r="H26" s="3"/>
      <c r="I26" s="3"/>
      <c r="J26" s="3"/>
      <c r="K26" s="3"/>
      <c r="L26" s="235" t="s">
        <v>97</v>
      </c>
      <c r="M26" s="235"/>
      <c r="N26" s="235"/>
      <c r="O26" s="235"/>
      <c r="P26" s="235"/>
      <c r="Q26" s="235"/>
      <c r="R26" s="235"/>
      <c r="S26" s="235"/>
      <c r="T26" s="3"/>
      <c r="U26" s="3"/>
      <c r="V26" s="4"/>
      <c r="X26" s="152" t="s">
        <v>7</v>
      </c>
      <c r="Y26" s="226" t="str">
        <f>+BRAINOV!L27</f>
        <v>Fluctuates between &lt;-20% and &gt;+20%</v>
      </c>
      <c r="Z26" s="226"/>
      <c r="AA26" s="226"/>
      <c r="AB26" s="226"/>
      <c r="AC26" s="226"/>
      <c r="AD26" s="226"/>
      <c r="AE26" s="226"/>
    </row>
    <row r="27" spans="2:31" ht="15.95" customHeight="1">
      <c r="B27" s="2"/>
      <c r="C27" s="6"/>
      <c r="D27" s="6"/>
      <c r="E27" s="6"/>
      <c r="F27" s="6"/>
      <c r="G27" s="6"/>
      <c r="H27" s="6"/>
      <c r="I27" s="6"/>
      <c r="J27" s="6"/>
      <c r="K27" s="3"/>
      <c r="L27" s="147"/>
      <c r="M27" s="147"/>
      <c r="N27" s="147"/>
      <c r="O27" s="147"/>
      <c r="P27" s="147"/>
      <c r="Q27" s="147"/>
      <c r="R27" s="147"/>
      <c r="S27" s="147"/>
      <c r="T27" s="3"/>
      <c r="U27" s="3"/>
      <c r="V27" s="4"/>
      <c r="X27" s="154"/>
      <c r="Y27" s="148"/>
      <c r="Z27" s="148"/>
      <c r="AA27" s="148"/>
      <c r="AB27" s="148"/>
      <c r="AC27" s="148"/>
      <c r="AD27" s="148"/>
      <c r="AE27" s="148"/>
    </row>
    <row r="28" spans="2:31" ht="15.95" customHeight="1">
      <c r="B28" s="2"/>
      <c r="C28" s="3"/>
      <c r="D28" s="3"/>
      <c r="E28" s="17" t="s">
        <v>59</v>
      </c>
      <c r="F28" s="237" t="s">
        <v>56</v>
      </c>
      <c r="G28" s="238"/>
      <c r="H28" s="238"/>
      <c r="I28" s="238"/>
      <c r="J28" s="238"/>
      <c r="K28" s="3"/>
      <c r="L28" s="234" t="str">
        <f>+Y46</f>
        <v>Do you expect any significant changes in your cash flow, health, and unforeseen expenditures?</v>
      </c>
      <c r="M28" s="234"/>
      <c r="N28" s="234"/>
      <c r="O28" s="234"/>
      <c r="P28" s="234"/>
      <c r="Q28" s="234"/>
      <c r="R28" s="234"/>
      <c r="S28" s="234"/>
      <c r="T28" s="3"/>
      <c r="U28" s="3"/>
      <c r="V28" s="4"/>
      <c r="X28" s="151">
        <v>5</v>
      </c>
      <c r="Y28" s="228" t="str">
        <f>+BRAINOV!L29</f>
        <v>What time horizon would you be comfortable with when investing in products the value of which can fluctuate?</v>
      </c>
      <c r="Z28" s="228"/>
      <c r="AA28" s="228"/>
      <c r="AB28" s="228"/>
      <c r="AC28" s="228"/>
      <c r="AD28" s="228"/>
      <c r="AE28" s="228"/>
    </row>
    <row r="29" spans="2:31" ht="15.95" customHeight="1">
      <c r="B29" s="2"/>
      <c r="C29" s="3"/>
      <c r="D29" s="3"/>
      <c r="E29" s="17" t="s">
        <v>63</v>
      </c>
      <c r="F29" s="237" t="s">
        <v>62</v>
      </c>
      <c r="G29" s="238"/>
      <c r="H29" s="238"/>
      <c r="I29" s="238"/>
      <c r="J29" s="238"/>
      <c r="K29" s="3"/>
      <c r="L29" s="235" t="s">
        <v>108</v>
      </c>
      <c r="M29" s="235"/>
      <c r="N29" s="235"/>
      <c r="O29" s="235"/>
      <c r="P29" s="235"/>
      <c r="Q29" s="235"/>
      <c r="R29" s="235"/>
      <c r="S29" s="235"/>
      <c r="T29" s="3"/>
      <c r="U29" s="3"/>
      <c r="V29" s="4"/>
      <c r="X29" s="152" t="s">
        <v>4</v>
      </c>
      <c r="Y29" s="226" t="str">
        <f>+BRAINOV!L30</f>
        <v xml:space="preserve">Less than 1 year </v>
      </c>
      <c r="Z29" s="226"/>
      <c r="AA29" s="226"/>
      <c r="AB29" s="226"/>
      <c r="AC29" s="226"/>
      <c r="AD29" s="226"/>
      <c r="AE29" s="226"/>
    </row>
    <row r="30" spans="2:31" ht="15.95" customHeight="1">
      <c r="B30" s="2"/>
      <c r="C30" s="3"/>
      <c r="D30" s="3"/>
      <c r="E30" s="17" t="s">
        <v>60</v>
      </c>
      <c r="F30" s="237" t="s">
        <v>57</v>
      </c>
      <c r="G30" s="238"/>
      <c r="H30" s="238"/>
      <c r="I30" s="238"/>
      <c r="J30" s="238"/>
      <c r="K30" s="3"/>
      <c r="L30" s="147"/>
      <c r="M30" s="147"/>
      <c r="N30" s="147"/>
      <c r="O30" s="147"/>
      <c r="P30" s="147"/>
      <c r="Q30" s="147"/>
      <c r="R30" s="147"/>
      <c r="S30" s="147"/>
      <c r="T30" s="3"/>
      <c r="U30" s="3"/>
      <c r="V30" s="4"/>
      <c r="X30" s="153" t="s">
        <v>5</v>
      </c>
      <c r="Y30" s="226" t="str">
        <f>+BRAINOV!L31</f>
        <v>Between 1 and 3 years</v>
      </c>
      <c r="Z30" s="226"/>
      <c r="AA30" s="226"/>
      <c r="AB30" s="226"/>
      <c r="AC30" s="226"/>
      <c r="AD30" s="226"/>
      <c r="AE30" s="226"/>
    </row>
    <row r="31" spans="2:31" ht="15.95" customHeight="1">
      <c r="B31" s="2"/>
      <c r="C31" s="3"/>
      <c r="D31" s="164"/>
      <c r="E31" s="236" t="s">
        <v>61</v>
      </c>
      <c r="F31" s="237" t="s">
        <v>58</v>
      </c>
      <c r="G31" s="238"/>
      <c r="H31" s="238"/>
      <c r="I31" s="238"/>
      <c r="J31" s="16"/>
      <c r="K31" s="3"/>
      <c r="L31" s="234" t="str">
        <f>+Y52</f>
        <v>How many months of your share of household expenses have you put aside to meet unforeseen events?</v>
      </c>
      <c r="M31" s="234"/>
      <c r="N31" s="234"/>
      <c r="O31" s="234"/>
      <c r="P31" s="234"/>
      <c r="Q31" s="234"/>
      <c r="R31" s="234"/>
      <c r="S31" s="234"/>
      <c r="T31" s="3"/>
      <c r="U31" s="3"/>
      <c r="V31" s="4"/>
      <c r="X31" s="152" t="s">
        <v>6</v>
      </c>
      <c r="Y31" s="226" t="str">
        <f>+BRAINOV!L32</f>
        <v>Between 4 and 5 years</v>
      </c>
      <c r="Z31" s="226"/>
      <c r="AA31" s="226"/>
      <c r="AB31" s="226"/>
      <c r="AC31" s="226"/>
      <c r="AD31" s="226"/>
      <c r="AE31" s="226"/>
    </row>
    <row r="32" spans="2:31" ht="15" customHeight="1">
      <c r="B32" s="2"/>
      <c r="C32" s="3"/>
      <c r="D32" s="3"/>
      <c r="E32" s="236"/>
      <c r="F32" s="3"/>
      <c r="G32" s="3"/>
      <c r="H32" s="3"/>
      <c r="I32" s="3"/>
      <c r="J32" s="3"/>
      <c r="K32" s="3"/>
      <c r="L32" s="235" t="s">
        <v>103</v>
      </c>
      <c r="M32" s="235"/>
      <c r="N32" s="235"/>
      <c r="O32" s="235"/>
      <c r="P32" s="235"/>
      <c r="Q32" s="235"/>
      <c r="R32" s="235"/>
      <c r="S32" s="235"/>
      <c r="T32" s="3"/>
      <c r="U32" s="3"/>
      <c r="V32" s="4"/>
      <c r="X32" s="152" t="s">
        <v>7</v>
      </c>
      <c r="Y32" s="226" t="str">
        <f>+BRAINOV!L33</f>
        <v>Over 5 years</v>
      </c>
      <c r="Z32" s="226"/>
      <c r="AA32" s="226"/>
      <c r="AB32" s="226"/>
      <c r="AC32" s="226"/>
      <c r="AD32" s="226"/>
      <c r="AE32" s="226"/>
    </row>
    <row r="33" spans="2:31" ht="15" customHeight="1" thickBot="1">
      <c r="B33" s="7"/>
      <c r="C33" s="8"/>
      <c r="D33" s="9"/>
      <c r="E33" s="9"/>
      <c r="F33" s="9"/>
      <c r="G33" s="9"/>
      <c r="H33" s="9"/>
      <c r="I33" s="9"/>
      <c r="J33" s="10"/>
      <c r="K33" s="10"/>
      <c r="L33" s="239"/>
      <c r="M33" s="239"/>
      <c r="N33" s="239"/>
      <c r="O33" s="239"/>
      <c r="P33" s="239"/>
      <c r="Q33" s="239"/>
      <c r="R33" s="239"/>
      <c r="S33" s="239"/>
      <c r="T33" s="9"/>
      <c r="U33" s="9"/>
      <c r="V33" s="18"/>
      <c r="X33" s="154"/>
      <c r="Y33" s="148"/>
      <c r="Z33" s="148"/>
      <c r="AA33" s="148"/>
      <c r="AB33" s="148"/>
      <c r="AC33" s="148"/>
      <c r="AD33" s="148"/>
      <c r="AE33" s="148"/>
    </row>
    <row r="34" spans="2:31" ht="16.5">
      <c r="B34" s="229" t="s">
        <v>0</v>
      </c>
      <c r="C34" s="229"/>
      <c r="D34" s="229"/>
      <c r="E34" s="229"/>
      <c r="F34" s="229"/>
      <c r="G34" s="229"/>
      <c r="H34" s="229"/>
      <c r="I34" s="229"/>
      <c r="J34" s="229"/>
      <c r="K34" s="229"/>
      <c r="L34" s="229"/>
      <c r="M34" s="229"/>
      <c r="N34" s="229"/>
      <c r="O34" s="229"/>
      <c r="P34" s="229"/>
      <c r="Q34" s="229"/>
      <c r="R34" s="229"/>
      <c r="S34" s="229"/>
      <c r="T34" s="229"/>
      <c r="U34" s="229"/>
      <c r="V34" s="229"/>
      <c r="X34" s="151">
        <v>6</v>
      </c>
      <c r="Y34" s="228" t="str">
        <f>+BRAINOV!L35</f>
        <v>I plan to begin withdrawing money from my investments within:</v>
      </c>
      <c r="Z34" s="228"/>
      <c r="AA34" s="228"/>
      <c r="AB34" s="228"/>
      <c r="AC34" s="228"/>
      <c r="AD34" s="228"/>
      <c r="AE34" s="228"/>
    </row>
    <row r="35" spans="2:31">
      <c r="B35" s="230" t="s">
        <v>178</v>
      </c>
      <c r="C35" s="230"/>
      <c r="D35" s="230"/>
      <c r="E35" s="230"/>
      <c r="F35" s="230"/>
      <c r="G35" s="230"/>
      <c r="H35" s="230"/>
      <c r="I35" s="230"/>
      <c r="J35" s="230"/>
      <c r="K35" s="230"/>
      <c r="L35" s="230"/>
      <c r="M35" s="230"/>
      <c r="N35" s="230"/>
      <c r="O35" s="230"/>
      <c r="P35" s="230"/>
      <c r="Q35" s="230"/>
      <c r="R35" s="230"/>
      <c r="S35" s="230"/>
      <c r="T35" s="230"/>
      <c r="U35" s="230"/>
      <c r="V35" s="230"/>
      <c r="X35" s="152" t="s">
        <v>4</v>
      </c>
      <c r="Y35" s="226" t="str">
        <f>+BRAINOV!L36</f>
        <v>Less than 3 years</v>
      </c>
      <c r="Z35" s="226"/>
      <c r="AA35" s="226"/>
      <c r="AB35" s="226"/>
      <c r="AC35" s="226"/>
      <c r="AD35" s="226"/>
      <c r="AE35" s="226"/>
    </row>
    <row r="36" spans="2:31" ht="13.5" customHeight="1">
      <c r="X36" s="153" t="s">
        <v>5</v>
      </c>
      <c r="Y36" s="226" t="str">
        <f>+BRAINOV!L37</f>
        <v>Between 3 and 5 years</v>
      </c>
      <c r="Z36" s="226"/>
      <c r="AA36" s="226"/>
      <c r="AB36" s="226"/>
      <c r="AC36" s="226"/>
      <c r="AD36" s="226"/>
      <c r="AE36" s="226"/>
    </row>
    <row r="37" spans="2:31">
      <c r="L37" s="15"/>
      <c r="M37" s="15"/>
      <c r="N37" s="15"/>
      <c r="O37" s="15"/>
      <c r="P37" s="15"/>
      <c r="Q37" s="15"/>
      <c r="R37" s="15"/>
      <c r="S37" s="15"/>
      <c r="X37" s="152" t="s">
        <v>6</v>
      </c>
      <c r="Y37" s="226" t="str">
        <f>+BRAINOV!L38</f>
        <v>Between 6 and 10 years</v>
      </c>
      <c r="Z37" s="226"/>
      <c r="AA37" s="226"/>
      <c r="AB37" s="226"/>
      <c r="AC37" s="226"/>
      <c r="AD37" s="226"/>
      <c r="AE37" s="226"/>
    </row>
    <row r="38" spans="2:31">
      <c r="L38" s="15"/>
      <c r="M38" s="15"/>
      <c r="N38" s="15"/>
      <c r="O38" s="15"/>
      <c r="P38" s="15"/>
      <c r="Q38" s="15"/>
      <c r="R38" s="15"/>
      <c r="S38" s="15"/>
      <c r="X38" s="152" t="s">
        <v>7</v>
      </c>
      <c r="Y38" s="226" t="str">
        <f>+BRAINOV!L39</f>
        <v>Over 10 years</v>
      </c>
      <c r="Z38" s="226"/>
      <c r="AA38" s="226"/>
      <c r="AB38" s="226"/>
      <c r="AC38" s="226"/>
      <c r="AD38" s="226"/>
      <c r="AE38" s="226"/>
    </row>
    <row r="39" spans="2:31">
      <c r="L39" s="15"/>
      <c r="M39" s="15"/>
      <c r="N39" s="15"/>
      <c r="O39" s="15"/>
      <c r="P39" s="15"/>
      <c r="Q39" s="15"/>
      <c r="R39" s="15"/>
      <c r="S39" s="15"/>
      <c r="X39" s="154"/>
      <c r="Y39" s="148"/>
      <c r="Z39" s="148"/>
      <c r="AA39" s="148"/>
      <c r="AB39" s="148"/>
      <c r="AC39" s="148"/>
      <c r="AD39" s="148"/>
      <c r="AE39" s="148"/>
    </row>
    <row r="40" spans="2:31">
      <c r="L40" s="15"/>
      <c r="M40" s="15"/>
      <c r="N40" s="15"/>
      <c r="O40" s="15"/>
      <c r="P40" s="15"/>
      <c r="Q40" s="15"/>
      <c r="R40" s="15"/>
      <c r="S40" s="15"/>
      <c r="X40" s="151">
        <v>7</v>
      </c>
      <c r="Y40" s="228" t="str">
        <f>+BRAINOV!L41</f>
        <v>What would your reaction be if your long-term investment has decreased in value by 20%?</v>
      </c>
      <c r="Z40" s="228"/>
      <c r="AA40" s="228"/>
      <c r="AB40" s="228"/>
      <c r="AC40" s="228"/>
      <c r="AD40" s="228"/>
      <c r="AE40" s="228"/>
    </row>
    <row r="41" spans="2:31">
      <c r="X41" s="152" t="s">
        <v>4</v>
      </c>
      <c r="Y41" s="226" t="str">
        <f>+BRAINOV!L42</f>
        <v>Horror. Security of your capital is critical and you did not intend to take risks.</v>
      </c>
      <c r="Z41" s="226"/>
      <c r="AA41" s="226"/>
      <c r="AB41" s="226"/>
      <c r="AC41" s="226"/>
      <c r="AD41" s="226"/>
      <c r="AE41" s="226"/>
    </row>
    <row r="42" spans="2:31">
      <c r="L42" s="15"/>
      <c r="M42" s="15"/>
      <c r="N42" s="15"/>
      <c r="O42" s="15"/>
      <c r="P42" s="15"/>
      <c r="Q42" s="15"/>
      <c r="R42" s="15"/>
      <c r="S42" s="15"/>
      <c r="X42" s="153" t="s">
        <v>5</v>
      </c>
      <c r="Y42" s="226" t="str">
        <f>+BRAINOV!L43</f>
        <v>You would cut your losses and transfer your funds into more secure investment sectors.</v>
      </c>
      <c r="Z42" s="226"/>
      <c r="AA42" s="226"/>
      <c r="AB42" s="226"/>
      <c r="AC42" s="226"/>
      <c r="AD42" s="226"/>
      <c r="AE42" s="226"/>
    </row>
    <row r="43" spans="2:31" ht="15" customHeight="1">
      <c r="L43" s="15"/>
      <c r="M43" s="15"/>
      <c r="N43" s="15"/>
      <c r="O43" s="15"/>
      <c r="P43" s="15"/>
      <c r="Q43" s="15"/>
      <c r="R43" s="15"/>
      <c r="S43" s="15"/>
      <c r="X43" s="152" t="s">
        <v>6</v>
      </c>
      <c r="Y43" s="226" t="str">
        <f>+BRAINOV!L44</f>
        <v>You would be concerned, but would wait to see if the investments improve.</v>
      </c>
      <c r="Z43" s="226"/>
      <c r="AA43" s="226"/>
      <c r="AB43" s="226"/>
      <c r="AC43" s="226"/>
      <c r="AD43" s="226"/>
      <c r="AE43" s="226"/>
    </row>
    <row r="44" spans="2:31" ht="15" customHeight="1">
      <c r="L44" s="15"/>
      <c r="M44" s="15"/>
      <c r="N44" s="15"/>
      <c r="O44" s="15"/>
      <c r="P44" s="15"/>
      <c r="Q44" s="15"/>
      <c r="R44" s="15"/>
      <c r="S44" s="15"/>
      <c r="X44" s="152" t="s">
        <v>7</v>
      </c>
      <c r="Y44" s="226" t="str">
        <f>+BRAINOV!L45</f>
        <v>This was a calculated risk and you would leave the investments in place, expecting performance to improve.</v>
      </c>
      <c r="Z44" s="226"/>
      <c r="AA44" s="226"/>
      <c r="AB44" s="226"/>
      <c r="AC44" s="226"/>
      <c r="AD44" s="226"/>
      <c r="AE44" s="226"/>
    </row>
    <row r="45" spans="2:31" ht="15" customHeight="1">
      <c r="L45" s="15"/>
      <c r="M45" s="15"/>
      <c r="N45" s="15"/>
      <c r="O45" s="15"/>
      <c r="P45" s="15"/>
      <c r="Q45" s="15"/>
      <c r="R45" s="15"/>
      <c r="S45" s="15"/>
      <c r="X45" s="154"/>
      <c r="Y45" s="148"/>
      <c r="Z45" s="148"/>
      <c r="AA45" s="148"/>
      <c r="AB45" s="148"/>
      <c r="AC45" s="148"/>
      <c r="AD45" s="148"/>
      <c r="AE45" s="148"/>
    </row>
    <row r="46" spans="2:31" ht="15" customHeight="1">
      <c r="X46" s="151">
        <v>8</v>
      </c>
      <c r="Y46" s="149" t="str">
        <f>+BRAINOV!L47</f>
        <v>Do you expect any significant changes in your cash flow, health, and unforeseen expenditures?</v>
      </c>
      <c r="Z46" s="149"/>
      <c r="AA46" s="149"/>
      <c r="AB46" s="149"/>
      <c r="AC46" s="149"/>
      <c r="AD46" s="149"/>
      <c r="AE46" s="149"/>
    </row>
    <row r="47" spans="2:31">
      <c r="X47" s="152" t="s">
        <v>4</v>
      </c>
      <c r="Y47" s="226" t="str">
        <f>+BRAINOV!L48</f>
        <v>There may be significant changes for the worse on the horizon.</v>
      </c>
      <c r="Z47" s="226"/>
      <c r="AA47" s="226"/>
      <c r="AB47" s="226"/>
      <c r="AC47" s="226"/>
      <c r="AD47" s="226"/>
      <c r="AE47" s="226"/>
    </row>
    <row r="48" spans="2:31">
      <c r="X48" s="153" t="s">
        <v>5</v>
      </c>
      <c r="Y48" s="226" t="str">
        <f>+BRAINOV!L49</f>
        <v>Everything seems stable and okay for now, but I’m worried.</v>
      </c>
      <c r="Z48" s="226"/>
      <c r="AA48" s="226"/>
      <c r="AB48" s="226"/>
      <c r="AC48" s="226"/>
      <c r="AD48" s="226"/>
      <c r="AE48" s="226"/>
    </row>
    <row r="49" spans="24:31">
      <c r="X49" s="152" t="s">
        <v>6</v>
      </c>
      <c r="Y49" s="226" t="str">
        <f>+BRAINOV!L50</f>
        <v>Everything seems stable and okay for the foreseeable future, and may improve.</v>
      </c>
      <c r="Z49" s="226"/>
      <c r="AA49" s="226"/>
      <c r="AB49" s="226"/>
      <c r="AC49" s="226"/>
      <c r="AD49" s="226"/>
      <c r="AE49" s="226"/>
    </row>
    <row r="50" spans="24:31">
      <c r="X50" s="152" t="s">
        <v>7</v>
      </c>
      <c r="Y50" s="226" t="str">
        <f>+BRAINOV!L51</f>
        <v>Everything seems like it will improve substantially over the foreseeable future.</v>
      </c>
      <c r="Z50" s="226"/>
      <c r="AA50" s="226"/>
      <c r="AB50" s="226"/>
      <c r="AC50" s="226"/>
      <c r="AD50" s="226"/>
      <c r="AE50" s="226"/>
    </row>
    <row r="51" spans="24:31">
      <c r="X51" s="154"/>
      <c r="Y51" s="148"/>
      <c r="Z51" s="148"/>
      <c r="AA51" s="148"/>
      <c r="AB51" s="148"/>
      <c r="AC51" s="148"/>
      <c r="AD51" s="148"/>
      <c r="AE51" s="148"/>
    </row>
    <row r="52" spans="24:31">
      <c r="X52" s="151">
        <v>9</v>
      </c>
      <c r="Y52" s="228" t="str">
        <f>+BRAINOV!L53</f>
        <v>How many months of your share of household expenses have you put aside to meet unforeseen events?</v>
      </c>
      <c r="Z52" s="228"/>
      <c r="AA52" s="228"/>
      <c r="AB52" s="228"/>
      <c r="AC52" s="228"/>
      <c r="AD52" s="228"/>
      <c r="AE52" s="228"/>
    </row>
    <row r="53" spans="24:31">
      <c r="X53" s="152" t="s">
        <v>4</v>
      </c>
      <c r="Y53" s="226" t="str">
        <f>+BRAINOV!L54</f>
        <v>Have no amount set aside for unforeseen events</v>
      </c>
      <c r="Z53" s="226"/>
      <c r="AA53" s="226"/>
      <c r="AB53" s="226"/>
      <c r="AC53" s="226"/>
      <c r="AD53" s="226"/>
      <c r="AE53" s="226"/>
    </row>
    <row r="54" spans="24:31">
      <c r="X54" s="153" t="s">
        <v>5</v>
      </c>
      <c r="Y54" s="226" t="str">
        <f>+BRAINOV!L55</f>
        <v>Less than 3 months</v>
      </c>
      <c r="Z54" s="226"/>
      <c r="AA54" s="226"/>
      <c r="AB54" s="226"/>
      <c r="AC54" s="226"/>
      <c r="AD54" s="226"/>
      <c r="AE54" s="226"/>
    </row>
    <row r="55" spans="24:31">
      <c r="X55" s="152" t="s">
        <v>6</v>
      </c>
      <c r="Y55" s="226" t="str">
        <f>+BRAINOV!L56</f>
        <v>Between 3 months and 9 months</v>
      </c>
      <c r="Z55" s="226"/>
      <c r="AA55" s="226"/>
      <c r="AB55" s="226"/>
      <c r="AC55" s="226"/>
      <c r="AD55" s="226"/>
      <c r="AE55" s="226"/>
    </row>
    <row r="56" spans="24:31">
      <c r="X56" s="152" t="s">
        <v>7</v>
      </c>
      <c r="Y56" s="150" t="str">
        <f>+BRAINOV!L57</f>
        <v>Over 9 months</v>
      </c>
      <c r="Z56" s="150"/>
      <c r="AA56" s="150"/>
      <c r="AB56" s="150"/>
      <c r="AC56" s="150"/>
      <c r="AD56" s="150"/>
      <c r="AE56" s="150"/>
    </row>
    <row r="57" spans="24:31">
      <c r="X57" s="47"/>
      <c r="Y57" s="45"/>
      <c r="Z57" s="45"/>
      <c r="AA57" s="45"/>
      <c r="AB57" s="45"/>
      <c r="AC57" s="45"/>
      <c r="AD57" s="45"/>
      <c r="AE57" s="45"/>
    </row>
    <row r="58" spans="24:31">
      <c r="X58" s="227" t="s">
        <v>1</v>
      </c>
      <c r="Y58" s="227"/>
      <c r="Z58" s="227"/>
      <c r="AA58" s="227"/>
      <c r="AB58" s="227"/>
      <c r="AC58" s="227"/>
      <c r="AD58" s="227"/>
      <c r="AE58" s="227"/>
    </row>
    <row r="59" spans="24:31">
      <c r="X59" s="189">
        <f>+BRAINOV!K59</f>
        <v>5.34</v>
      </c>
      <c r="Y59" s="225" t="str">
        <f>+BRAINOV!L59</f>
        <v>BALANCED</v>
      </c>
      <c r="Z59" s="225"/>
      <c r="AA59" s="225"/>
      <c r="AB59" s="225"/>
      <c r="AC59" s="225"/>
      <c r="AD59" s="225"/>
      <c r="AE59" s="225"/>
    </row>
    <row r="60" spans="24:31">
      <c r="X60" s="190"/>
      <c r="Y60" s="225"/>
      <c r="Z60" s="225"/>
      <c r="AA60" s="225"/>
      <c r="AB60" s="225"/>
      <c r="AC60" s="225"/>
      <c r="AD60" s="225"/>
      <c r="AE60" s="225"/>
    </row>
    <row r="61" spans="24:31">
      <c r="X61" s="190"/>
      <c r="Y61" s="225"/>
      <c r="Z61" s="225"/>
      <c r="AA61" s="225"/>
      <c r="AB61" s="225"/>
      <c r="AC61" s="225"/>
      <c r="AD61" s="225"/>
      <c r="AE61" s="225"/>
    </row>
    <row r="62" spans="24:31">
      <c r="X62" s="195"/>
      <c r="Y62" s="225"/>
      <c r="Z62" s="225"/>
      <c r="AA62" s="225"/>
      <c r="AB62" s="225"/>
      <c r="AC62" s="225"/>
      <c r="AD62" s="225"/>
      <c r="AE62" s="225"/>
    </row>
    <row r="67" ht="15" customHeight="1"/>
    <row r="68" ht="15" customHeight="1"/>
    <row r="69" ht="15" customHeight="1"/>
    <row r="70" ht="15" customHeight="1"/>
  </sheetData>
  <sheetProtection password="8EE0" sheet="1" objects="1" scenarios="1" selectLockedCells="1"/>
  <mergeCells count="86">
    <mergeCell ref="B2:V2"/>
    <mergeCell ref="B3:V3"/>
    <mergeCell ref="C23:E23"/>
    <mergeCell ref="L10:S10"/>
    <mergeCell ref="L13:S13"/>
    <mergeCell ref="E8:H8"/>
    <mergeCell ref="F21:G21"/>
    <mergeCell ref="H23:J23"/>
    <mergeCell ref="L16:S16"/>
    <mergeCell ref="E9:E10"/>
    <mergeCell ref="F9:H10"/>
    <mergeCell ref="L17:S17"/>
    <mergeCell ref="L19:S19"/>
    <mergeCell ref="H24:J24"/>
    <mergeCell ref="C25:E25"/>
    <mergeCell ref="H25:J25"/>
    <mergeCell ref="L25:S25"/>
    <mergeCell ref="L23:S23"/>
    <mergeCell ref="L22:S22"/>
    <mergeCell ref="L20:S20"/>
    <mergeCell ref="F29:J29"/>
    <mergeCell ref="L28:S28"/>
    <mergeCell ref="F28:J28"/>
    <mergeCell ref="L29:S29"/>
    <mergeCell ref="L31:S31"/>
    <mergeCell ref="L26:S26"/>
    <mergeCell ref="F31:I31"/>
    <mergeCell ref="F30:J30"/>
    <mergeCell ref="L33:S33"/>
    <mergeCell ref="L14:S14"/>
    <mergeCell ref="X2:AE2"/>
    <mergeCell ref="Y4:AE4"/>
    <mergeCell ref="Y5:AE5"/>
    <mergeCell ref="Y6:AE6"/>
    <mergeCell ref="Y7:AE7"/>
    <mergeCell ref="Y10:AE10"/>
    <mergeCell ref="L7:S7"/>
    <mergeCell ref="L11:S11"/>
    <mergeCell ref="L8:S8"/>
    <mergeCell ref="E31:E32"/>
    <mergeCell ref="L32:S32"/>
    <mergeCell ref="Y25:AE25"/>
    <mergeCell ref="Y12:AE12"/>
    <mergeCell ref="Y13:AE13"/>
    <mergeCell ref="Y14:AE14"/>
    <mergeCell ref="Y16:AE16"/>
    <mergeCell ref="Y36:AE36"/>
    <mergeCell ref="Y18:AE18"/>
    <mergeCell ref="Y37:AE37"/>
    <mergeCell ref="Y19:AE19"/>
    <mergeCell ref="Y20:AE20"/>
    <mergeCell ref="Y22:AE22"/>
    <mergeCell ref="Y23:AE23"/>
    <mergeCell ref="Y24:AE24"/>
    <mergeCell ref="Y8:AE8"/>
    <mergeCell ref="Y28:AE28"/>
    <mergeCell ref="Y29:AE29"/>
    <mergeCell ref="Y30:AE30"/>
    <mergeCell ref="Y34:AE34"/>
    <mergeCell ref="Y35:AE35"/>
    <mergeCell ref="Y17:AE17"/>
    <mergeCell ref="Y11:AE11"/>
    <mergeCell ref="B34:V34"/>
    <mergeCell ref="B35:V35"/>
    <mergeCell ref="L5:Q5"/>
    <mergeCell ref="Y52:AE52"/>
    <mergeCell ref="Y26:AE26"/>
    <mergeCell ref="Y31:AE31"/>
    <mergeCell ref="Y32:AE32"/>
    <mergeCell ref="C24:E24"/>
    <mergeCell ref="Y47:AE47"/>
    <mergeCell ref="Y43:AE43"/>
    <mergeCell ref="Y48:AE48"/>
    <mergeCell ref="Y49:AE49"/>
    <mergeCell ref="Y50:AE50"/>
    <mergeCell ref="Y38:AE38"/>
    <mergeCell ref="Y40:AE40"/>
    <mergeCell ref="Y41:AE41"/>
    <mergeCell ref="Y44:AE44"/>
    <mergeCell ref="Y42:AE42"/>
    <mergeCell ref="X59:X62"/>
    <mergeCell ref="Y59:AE62"/>
    <mergeCell ref="Y53:AE53"/>
    <mergeCell ref="Y54:AE54"/>
    <mergeCell ref="Y55:AE55"/>
    <mergeCell ref="X58:AE58"/>
  </mergeCells>
  <conditionalFormatting sqref="X59:X62">
    <cfRule type="colorScale" priority="3">
      <colorScale>
        <cfvo type="num" val="0"/>
        <cfvo type="num" val="18"/>
        <cfvo type="num" val="36"/>
        <color rgb="FF92D050"/>
        <color rgb="FFFFC000"/>
        <color rgb="FFFF0000"/>
      </colorScale>
    </cfRule>
  </conditionalFormatting>
  <conditionalFormatting sqref="E9">
    <cfRule type="colorScale" priority="1">
      <colorScale>
        <cfvo type="num" val="1"/>
        <cfvo type="num" val="5"/>
        <cfvo type="num" val="9"/>
        <color rgb="FF92D050"/>
        <color rgb="FFFFC000"/>
        <color rgb="FFFF0000"/>
      </colorScale>
    </cfRule>
  </conditionalFormatting>
  <dataValidations xWindow="22" yWindow="269" count="13">
    <dataValidation type="list" errorStyle="warning" allowBlank="1" showInputMessage="1" showErrorMessage="1" errorTitle="Questionário" error="Selecione uma resposta da lista." sqref="L8:S8">
      <formula1>$Y$5:$Y$8</formula1>
    </dataValidation>
    <dataValidation type="list" errorStyle="warning" allowBlank="1" showInputMessage="1" showErrorMessage="1" errorTitle="Questionário" error="Selecione uma resposta da lista." sqref="L11:S11">
      <formula1>$Y$11:$Y$14</formula1>
    </dataValidation>
    <dataValidation type="list" errorStyle="warning" allowBlank="1" showInputMessage="1" showErrorMessage="1" errorTitle="Questionário" error="Selecione uma resposta da lista." sqref="L14:S14">
      <formula1>$Y$17:$Y$20</formula1>
    </dataValidation>
    <dataValidation type="list" errorStyle="warning" allowBlank="1" showInputMessage="1" showErrorMessage="1" errorTitle="Questionário" error="Selecione uma resposta da lista." sqref="L17:S17">
      <formula1>$Y$23:$Y$26</formula1>
    </dataValidation>
    <dataValidation type="list" errorStyle="warning" allowBlank="1" showInputMessage="1" showErrorMessage="1" errorTitle="Questionário" error="Selecione uma resposta da lista." sqref="L20:S20">
      <formula1>$Y$29:$Y$32</formula1>
    </dataValidation>
    <dataValidation type="list" errorStyle="warning" allowBlank="1" showInputMessage="1" showErrorMessage="1" errorTitle="Questionário" error="Selecione uma resposta da lista." sqref="L23:S23">
      <formula1>$Y$35:$Y$38</formula1>
    </dataValidation>
    <dataValidation type="list" allowBlank="1" showInputMessage="1" showErrorMessage="1" errorTitle="Questionário" error="Selecione uma resposta da lista." sqref="L26:S26">
      <formula1>$Y$41:$Y$44</formula1>
    </dataValidation>
    <dataValidation type="list" errorStyle="warning" allowBlank="1" showInputMessage="1" showErrorMessage="1" errorTitle="Questionário" error="Selecione uma resposta da lista." sqref="L29:S29">
      <formula1>$Y$47:$Y$50</formula1>
    </dataValidation>
    <dataValidation type="list" errorStyle="warning" allowBlank="1" showInputMessage="1" showErrorMessage="1" errorTitle="Questionário" error="Selecione uma resposta da lista." sqref="L32:S32">
      <formula1>$Y$53:$Y$56</formula1>
    </dataValidation>
    <dataValidation type="decimal" errorStyle="warning" allowBlank="1" showInputMessage="1" showErrorMessage="1" errorTitle="Porfolio Income Need" error="_x000a__x000a_The value entered must be between 0% and 10%." promptTitle="Portfolio Income Need" prompt="Enter a value between 0% and 10%. _x000a__x000a_(Unless you are retired, the desirable value is 0%)_x000a_" sqref="E6">
      <formula1>0</formula1>
      <formula2>0.1</formula2>
    </dataValidation>
    <dataValidation type="whole" errorStyle="warning" allowBlank="1" showInputMessage="1" showErrorMessage="1" errorTitle="Current Assets" error="The accepted values ​​are between 0 and 9,999,999" promptTitle="Current Assets" prompt="Enter a value between 0 and 9,999,999" sqref="F6">
      <formula1>0</formula1>
      <formula2>9999999</formula2>
    </dataValidation>
    <dataValidation type="whole" errorStyle="warning" allowBlank="1" showInputMessage="1" showErrorMessage="1" errorTitle="Annual Income" error="The only accepted values ​​are between 0 and 1,000,000" promptTitle="Annual Income" prompt="Enter your gross annual income between 0 and 1,000,000._x000a__x000a_(If you are retired enter the value 0)" sqref="G6">
      <formula1>0</formula1>
      <formula2>1000000</formula2>
    </dataValidation>
    <dataValidation type="whole" errorStyle="warning" allowBlank="1" showInputMessage="1" showErrorMessage="1" errorTitle="Age" error="The accepted values ​​are between 16 and 100 years" promptTitle="Age" prompt="Enter your age._x000a__x000a_(The accepted values ​​are between 16 and 100 years)" sqref="H6">
      <formula1>16</formula1>
      <formula2>100</formula2>
    </dataValidation>
  </dataValidations>
  <pageMargins left="0.7" right="0.7" top="0.75" bottom="0.75" header="0.3" footer="0.3"/>
  <pageSetup paperSize="9" orientation="portrait" horizontalDpi="4294967293" r:id="rId1"/>
  <drawing r:id="rId2"/>
</worksheet>
</file>

<file path=xl/worksheets/sheet3.xml><?xml version="1.0" encoding="utf-8"?>
<worksheet xmlns="http://schemas.openxmlformats.org/spreadsheetml/2006/main" xmlns:r="http://schemas.openxmlformats.org/officeDocument/2006/relationships">
  <dimension ref="A1:S299"/>
  <sheetViews>
    <sheetView showGridLines="0" showRowColHeaders="0" zoomScaleNormal="100" workbookViewId="0">
      <selection activeCell="S120" sqref="S120"/>
    </sheetView>
  </sheetViews>
  <sheetFormatPr defaultRowHeight="15"/>
  <cols>
    <col min="2" max="3" width="4.5703125" customWidth="1"/>
    <col min="7" max="7" width="1.42578125" customWidth="1"/>
    <col min="10" max="10" width="4.5703125" customWidth="1"/>
    <col min="11" max="11" width="2.28515625" customWidth="1"/>
    <col min="12" max="13" width="1.140625" customWidth="1"/>
  </cols>
  <sheetData>
    <row r="1" spans="2:14" ht="18.75">
      <c r="B1" s="313" t="s">
        <v>43</v>
      </c>
      <c r="C1" s="313"/>
      <c r="D1" s="313"/>
      <c r="E1" s="313"/>
      <c r="F1" s="313"/>
      <c r="G1" s="313"/>
      <c r="H1" s="313"/>
      <c r="I1" s="313"/>
      <c r="J1" s="107"/>
      <c r="K1" s="107"/>
      <c r="L1" s="107"/>
    </row>
    <row r="2" spans="2:14" ht="18.75">
      <c r="B2" s="313"/>
      <c r="C2" s="313"/>
      <c r="D2" s="313"/>
      <c r="E2" s="313"/>
      <c r="F2" s="313"/>
      <c r="G2" s="313"/>
      <c r="H2" s="313"/>
      <c r="I2" s="313"/>
      <c r="J2" s="107"/>
      <c r="K2" s="107"/>
      <c r="L2" s="107"/>
    </row>
    <row r="3" spans="2:14" ht="18.75">
      <c r="B3" s="313"/>
      <c r="C3" s="313"/>
      <c r="D3" s="313"/>
      <c r="E3" s="313"/>
      <c r="F3" s="313"/>
      <c r="G3" s="313"/>
      <c r="H3" s="313"/>
      <c r="I3" s="313"/>
      <c r="J3" s="107"/>
      <c r="K3" s="107"/>
      <c r="L3" s="107"/>
    </row>
    <row r="11" spans="2:14" ht="15" customHeight="1">
      <c r="M11" s="104"/>
      <c r="N11" s="104"/>
    </row>
    <row r="12" spans="2:14" ht="15" customHeight="1"/>
    <row r="15" spans="2:14">
      <c r="B15" s="327" t="s">
        <v>55</v>
      </c>
      <c r="C15" s="327"/>
      <c r="D15" s="327"/>
      <c r="E15" s="327"/>
      <c r="F15" s="328"/>
      <c r="G15" s="101">
        <f ca="1">TODAY()</f>
        <v>40675</v>
      </c>
      <c r="H15" s="331">
        <f ca="1">TODAY()</f>
        <v>40675</v>
      </c>
      <c r="I15" s="331"/>
      <c r="J15" s="331"/>
      <c r="K15" s="331"/>
      <c r="L15" s="331"/>
      <c r="M15" s="331"/>
    </row>
    <row r="16" spans="2:14">
      <c r="B16" s="327"/>
      <c r="C16" s="327"/>
      <c r="D16" s="327"/>
      <c r="E16" s="327"/>
      <c r="F16" s="328"/>
      <c r="G16" s="101"/>
      <c r="H16" s="331"/>
      <c r="I16" s="331"/>
      <c r="J16" s="331"/>
      <c r="K16" s="331"/>
      <c r="L16" s="331"/>
      <c r="M16" s="331"/>
    </row>
    <row r="17" spans="2:19">
      <c r="B17" s="327"/>
      <c r="C17" s="327"/>
      <c r="D17" s="327"/>
      <c r="E17" s="327"/>
      <c r="F17" s="328"/>
      <c r="G17" s="102"/>
      <c r="H17" s="332">
        <f ca="1">TODAY()</f>
        <v>40675</v>
      </c>
      <c r="I17" s="332"/>
      <c r="J17" s="332"/>
      <c r="K17" s="332"/>
      <c r="L17" s="332"/>
      <c r="M17" s="332"/>
    </row>
    <row r="18" spans="2:19">
      <c r="B18" s="327"/>
      <c r="C18" s="327"/>
      <c r="D18" s="327"/>
      <c r="E18" s="327"/>
      <c r="F18" s="328"/>
      <c r="G18" s="102"/>
      <c r="H18" s="332"/>
      <c r="I18" s="332"/>
      <c r="J18" s="332"/>
      <c r="K18" s="332"/>
      <c r="L18" s="332"/>
      <c r="M18" s="332"/>
      <c r="S18" s="106"/>
    </row>
    <row r="19" spans="2:19">
      <c r="B19" s="327"/>
      <c r="C19" s="327"/>
      <c r="D19" s="327"/>
      <c r="E19" s="327"/>
      <c r="F19" s="328"/>
      <c r="G19" s="102"/>
      <c r="H19" s="332"/>
      <c r="I19" s="332"/>
      <c r="J19" s="332"/>
      <c r="K19" s="332"/>
      <c r="L19" s="332"/>
      <c r="M19" s="332"/>
    </row>
    <row r="20" spans="2:19">
      <c r="B20" s="327"/>
      <c r="C20" s="327"/>
      <c r="D20" s="327"/>
      <c r="E20" s="327"/>
      <c r="F20" s="328"/>
      <c r="G20" s="102"/>
      <c r="H20" s="332"/>
      <c r="I20" s="332"/>
      <c r="J20" s="332"/>
      <c r="K20" s="332"/>
      <c r="L20" s="332"/>
      <c r="M20" s="332"/>
    </row>
    <row r="21" spans="2:19">
      <c r="B21" s="327"/>
      <c r="C21" s="327"/>
      <c r="D21" s="327"/>
      <c r="E21" s="327"/>
      <c r="F21" s="328"/>
      <c r="G21" s="102"/>
      <c r="H21" s="332"/>
      <c r="I21" s="332"/>
      <c r="J21" s="332"/>
      <c r="K21" s="332"/>
      <c r="L21" s="332"/>
      <c r="M21" s="332"/>
    </row>
    <row r="22" spans="2:19">
      <c r="B22" s="327"/>
      <c r="C22" s="327"/>
      <c r="D22" s="327"/>
      <c r="E22" s="327"/>
      <c r="F22" s="328"/>
      <c r="G22" s="102"/>
      <c r="H22" s="332"/>
      <c r="I22" s="332"/>
      <c r="J22" s="332"/>
      <c r="K22" s="332"/>
      <c r="L22" s="332"/>
      <c r="M22" s="332"/>
    </row>
    <row r="23" spans="2:19">
      <c r="B23" s="327"/>
      <c r="C23" s="327"/>
      <c r="D23" s="327"/>
      <c r="E23" s="327"/>
      <c r="F23" s="328"/>
      <c r="G23" s="102"/>
      <c r="H23" s="332"/>
      <c r="I23" s="332"/>
      <c r="J23" s="332"/>
      <c r="K23" s="332"/>
      <c r="L23" s="332"/>
      <c r="M23" s="332"/>
    </row>
    <row r="24" spans="2:19" ht="15.75" thickBot="1">
      <c r="B24" s="329"/>
      <c r="C24" s="329"/>
      <c r="D24" s="329"/>
      <c r="E24" s="329"/>
      <c r="F24" s="330"/>
      <c r="G24" s="103"/>
      <c r="H24" s="333"/>
      <c r="I24" s="333"/>
      <c r="J24" s="333"/>
      <c r="K24" s="333"/>
      <c r="L24" s="333"/>
      <c r="M24" s="333"/>
    </row>
    <row r="25" spans="2:19" ht="15.75" thickTop="1"/>
    <row r="26" spans="2:19" s="105" customFormat="1" ht="11.1" customHeight="1">
      <c r="B26" s="300" t="s">
        <v>127</v>
      </c>
      <c r="C26" s="292" t="s">
        <v>126</v>
      </c>
      <c r="D26" s="292"/>
      <c r="E26" s="292"/>
      <c r="F26" s="292"/>
      <c r="G26" s="292"/>
      <c r="H26" s="292"/>
      <c r="I26" s="292"/>
      <c r="J26" s="292"/>
      <c r="K26" s="292"/>
      <c r="L26" s="292"/>
      <c r="M26" s="292"/>
    </row>
    <row r="27" spans="2:19" s="105" customFormat="1" ht="11.1" customHeight="1">
      <c r="B27" s="300"/>
      <c r="C27" s="292"/>
      <c r="D27" s="292"/>
      <c r="E27" s="292"/>
      <c r="F27" s="292"/>
      <c r="G27" s="292"/>
      <c r="H27" s="292"/>
      <c r="I27" s="292"/>
      <c r="J27" s="292"/>
      <c r="K27" s="292"/>
      <c r="L27" s="292"/>
      <c r="M27" s="292"/>
    </row>
    <row r="28" spans="2:19" s="105" customFormat="1" ht="11.1" customHeight="1">
      <c r="B28" s="300"/>
      <c r="C28" s="292"/>
      <c r="D28" s="292"/>
      <c r="E28" s="292"/>
      <c r="F28" s="292"/>
      <c r="G28" s="292"/>
      <c r="H28" s="292"/>
      <c r="I28" s="292"/>
      <c r="J28" s="292"/>
      <c r="K28" s="292"/>
      <c r="L28" s="292"/>
      <c r="M28" s="292"/>
    </row>
    <row r="29" spans="2:19" s="105" customFormat="1" ht="11.1" customHeight="1">
      <c r="B29" s="300"/>
      <c r="C29" s="292"/>
      <c r="D29" s="292"/>
      <c r="E29" s="292"/>
      <c r="F29" s="292"/>
      <c r="G29" s="292"/>
      <c r="H29" s="292"/>
      <c r="I29" s="292"/>
      <c r="J29" s="292"/>
      <c r="K29" s="292"/>
      <c r="L29" s="292"/>
      <c r="M29" s="292"/>
    </row>
    <row r="30" spans="2:19" s="105" customFormat="1" ht="11.1" customHeight="1">
      <c r="B30" s="300"/>
      <c r="C30" s="292"/>
      <c r="D30" s="292"/>
      <c r="E30" s="292"/>
      <c r="F30" s="292"/>
      <c r="G30" s="292"/>
      <c r="H30" s="292"/>
      <c r="I30" s="292"/>
      <c r="J30" s="292"/>
      <c r="K30" s="292"/>
      <c r="L30" s="292"/>
      <c r="M30" s="292"/>
    </row>
    <row r="31" spans="2:19" s="105" customFormat="1" ht="11.1" customHeight="1">
      <c r="B31" s="300"/>
      <c r="C31" s="292"/>
      <c r="D31" s="292"/>
      <c r="E31" s="292"/>
      <c r="F31" s="292"/>
      <c r="G31" s="292"/>
      <c r="H31" s="292"/>
      <c r="I31" s="292"/>
      <c r="J31" s="292"/>
      <c r="K31" s="292"/>
      <c r="L31" s="292"/>
      <c r="M31" s="292"/>
    </row>
    <row r="32" spans="2:19" s="105" customFormat="1" ht="11.1" customHeight="1">
      <c r="B32" s="300"/>
      <c r="C32" s="292"/>
      <c r="D32" s="292"/>
      <c r="E32" s="292"/>
      <c r="F32" s="292"/>
      <c r="G32" s="292"/>
      <c r="H32" s="292"/>
      <c r="I32" s="292"/>
      <c r="J32" s="292"/>
      <c r="K32" s="292"/>
      <c r="L32" s="292"/>
      <c r="M32" s="292"/>
    </row>
    <row r="33" spans="2:13" s="105" customFormat="1" ht="11.1" customHeight="1">
      <c r="B33" s="300"/>
      <c r="C33" s="292"/>
      <c r="D33" s="292"/>
      <c r="E33" s="292"/>
      <c r="F33" s="292"/>
      <c r="G33" s="292"/>
      <c r="H33" s="292"/>
      <c r="I33" s="292"/>
      <c r="J33" s="292"/>
      <c r="K33" s="292"/>
      <c r="L33" s="292"/>
      <c r="M33" s="292"/>
    </row>
    <row r="34" spans="2:13" s="105" customFormat="1" ht="11.1" customHeight="1">
      <c r="B34" s="300"/>
      <c r="C34" s="292"/>
      <c r="D34" s="292"/>
      <c r="E34" s="292"/>
      <c r="F34" s="292"/>
      <c r="G34" s="292"/>
      <c r="H34" s="292"/>
      <c r="I34" s="292"/>
      <c r="J34" s="292"/>
      <c r="K34" s="292"/>
      <c r="L34" s="292"/>
      <c r="M34" s="292"/>
    </row>
    <row r="35" spans="2:13" s="105" customFormat="1" ht="11.1" customHeight="1">
      <c r="B35" s="300"/>
      <c r="C35" s="292"/>
      <c r="D35" s="292"/>
      <c r="E35" s="292"/>
      <c r="F35" s="292"/>
      <c r="G35" s="292"/>
      <c r="H35" s="292"/>
      <c r="I35" s="292"/>
      <c r="J35" s="292"/>
      <c r="K35" s="292"/>
      <c r="L35" s="292"/>
      <c r="M35" s="292"/>
    </row>
    <row r="36" spans="2:13" s="105" customFormat="1" ht="11.1" customHeight="1">
      <c r="B36" s="300"/>
      <c r="C36" s="292"/>
      <c r="D36" s="292"/>
      <c r="E36" s="292"/>
      <c r="F36" s="292"/>
      <c r="G36" s="292"/>
      <c r="H36" s="292"/>
      <c r="I36" s="292"/>
      <c r="J36" s="292"/>
      <c r="K36" s="292"/>
      <c r="L36" s="292"/>
      <c r="M36" s="292"/>
    </row>
    <row r="37" spans="2:13" s="105" customFormat="1" ht="11.1" customHeight="1">
      <c r="B37" s="300"/>
      <c r="C37" s="292"/>
      <c r="D37" s="292"/>
      <c r="E37" s="292"/>
      <c r="F37" s="292"/>
      <c r="G37" s="292"/>
      <c r="H37" s="292"/>
      <c r="I37" s="292"/>
      <c r="J37" s="292"/>
      <c r="K37" s="292"/>
      <c r="L37" s="292"/>
      <c r="M37" s="292"/>
    </row>
    <row r="38" spans="2:13" ht="15" customHeight="1">
      <c r="B38" s="300"/>
      <c r="C38" s="292"/>
      <c r="D38" s="292"/>
      <c r="E38" s="292"/>
      <c r="F38" s="292"/>
      <c r="G38" s="292"/>
      <c r="H38" s="292"/>
      <c r="I38" s="292"/>
      <c r="J38" s="292"/>
      <c r="K38" s="292"/>
      <c r="L38" s="292"/>
      <c r="M38" s="292"/>
    </row>
    <row r="39" spans="2:13">
      <c r="B39" s="300"/>
      <c r="C39" s="292"/>
      <c r="D39" s="292"/>
      <c r="E39" s="292"/>
      <c r="F39" s="292"/>
      <c r="G39" s="292"/>
      <c r="H39" s="292"/>
      <c r="I39" s="292"/>
      <c r="J39" s="292"/>
      <c r="K39" s="292"/>
      <c r="L39" s="292"/>
      <c r="M39" s="292"/>
    </row>
    <row r="40" spans="2:13">
      <c r="B40" s="300"/>
      <c r="C40" s="292"/>
      <c r="D40" s="292"/>
      <c r="E40" s="292"/>
      <c r="F40" s="292"/>
      <c r="G40" s="292"/>
      <c r="H40" s="292"/>
      <c r="I40" s="292"/>
      <c r="J40" s="292"/>
      <c r="K40" s="292"/>
      <c r="L40" s="292"/>
      <c r="M40" s="292"/>
    </row>
    <row r="41" spans="2:13">
      <c r="B41" s="300"/>
      <c r="C41" s="292"/>
      <c r="D41" s="292"/>
      <c r="E41" s="292"/>
      <c r="F41" s="292"/>
      <c r="G41" s="292"/>
      <c r="H41" s="292"/>
      <c r="I41" s="292"/>
      <c r="J41" s="292"/>
      <c r="K41" s="292"/>
      <c r="L41" s="292"/>
      <c r="M41" s="292"/>
    </row>
    <row r="42" spans="2:13">
      <c r="B42" s="300"/>
      <c r="C42" s="292"/>
      <c r="D42" s="292"/>
      <c r="E42" s="292"/>
      <c r="F42" s="292"/>
      <c r="G42" s="292"/>
      <c r="H42" s="292"/>
      <c r="I42" s="292"/>
      <c r="J42" s="292"/>
      <c r="K42" s="292"/>
      <c r="L42" s="292"/>
      <c r="M42" s="292"/>
    </row>
    <row r="49" spans="1:14" ht="13.5" customHeight="1"/>
    <row r="50" spans="1:14">
      <c r="A50" s="305" t="s">
        <v>44</v>
      </c>
      <c r="B50" s="306"/>
      <c r="C50" s="306"/>
      <c r="D50" s="306"/>
      <c r="E50" s="306"/>
      <c r="F50" s="306"/>
      <c r="G50" s="306"/>
      <c r="H50" s="306"/>
      <c r="I50" s="306"/>
      <c r="J50" s="306"/>
      <c r="K50" s="108"/>
      <c r="L50" s="108"/>
      <c r="N50" s="326">
        <v>1</v>
      </c>
    </row>
    <row r="51" spans="1:14" ht="18.75" customHeight="1">
      <c r="A51" s="306"/>
      <c r="B51" s="306"/>
      <c r="C51" s="306"/>
      <c r="D51" s="306"/>
      <c r="E51" s="306"/>
      <c r="F51" s="306"/>
      <c r="G51" s="306"/>
      <c r="H51" s="306"/>
      <c r="I51" s="306"/>
      <c r="J51" s="306"/>
      <c r="K51" s="108"/>
      <c r="L51" s="108"/>
      <c r="N51" s="326"/>
    </row>
    <row r="55" spans="1:14" ht="15" customHeight="1">
      <c r="D55" s="275" t="s">
        <v>131</v>
      </c>
      <c r="E55" s="275"/>
      <c r="F55" s="275"/>
      <c r="G55" s="275"/>
      <c r="H55" s="275"/>
      <c r="I55" s="275"/>
      <c r="J55" s="275"/>
      <c r="K55" s="276" t="str">
        <f>LEFT(UPPER('Calculator } ASSET ALLOCATOR'!S5),11)</f>
        <v>YOUR NAME</v>
      </c>
      <c r="L55" s="276"/>
      <c r="M55" s="276"/>
      <c r="N55" s="276"/>
    </row>
    <row r="56" spans="1:14" ht="15" customHeight="1">
      <c r="D56" s="275"/>
      <c r="E56" s="275"/>
      <c r="F56" s="275"/>
      <c r="G56" s="275"/>
      <c r="H56" s="275"/>
      <c r="I56" s="275"/>
      <c r="J56" s="275"/>
      <c r="K56" s="276"/>
      <c r="L56" s="276"/>
      <c r="M56" s="276"/>
      <c r="N56" s="276"/>
    </row>
    <row r="57" spans="1:14">
      <c r="D57" s="314">
        <f ca="1" xml:space="preserve"> TODAY()</f>
        <v>40675</v>
      </c>
      <c r="E57" s="314"/>
      <c r="F57" s="314"/>
      <c r="G57" s="314"/>
      <c r="H57" s="314"/>
      <c r="I57" s="314"/>
      <c r="J57" s="314"/>
      <c r="K57" s="314"/>
      <c r="L57" s="314"/>
      <c r="M57" s="314"/>
      <c r="N57" s="314"/>
    </row>
    <row r="59" spans="1:14">
      <c r="A59" s="315" t="s">
        <v>123</v>
      </c>
      <c r="B59" s="270"/>
      <c r="C59" s="270"/>
      <c r="D59" s="270"/>
      <c r="E59" s="270"/>
      <c r="F59" s="270"/>
      <c r="G59" s="270"/>
      <c r="H59" s="270"/>
      <c r="I59" s="270"/>
      <c r="J59" s="270"/>
      <c r="K59" s="270"/>
      <c r="L59" s="270"/>
      <c r="M59" s="270"/>
      <c r="N59" s="270"/>
    </row>
    <row r="60" spans="1:14">
      <c r="A60" s="270" t="s">
        <v>129</v>
      </c>
      <c r="B60" s="270"/>
      <c r="C60" s="270"/>
      <c r="D60" s="270"/>
      <c r="E60" s="270"/>
      <c r="F60" s="270"/>
      <c r="G60" s="270"/>
      <c r="H60" s="270"/>
      <c r="I60" s="270"/>
      <c r="J60" s="270"/>
      <c r="K60" s="270"/>
      <c r="L60" s="270"/>
      <c r="M60" s="270"/>
      <c r="N60" s="270"/>
    </row>
    <row r="61" spans="1:14">
      <c r="A61" s="284" t="s">
        <v>124</v>
      </c>
      <c r="B61" s="284"/>
      <c r="C61" s="284"/>
      <c r="D61" s="284"/>
      <c r="E61" s="284"/>
      <c r="F61" s="284"/>
      <c r="G61" s="284"/>
      <c r="H61" s="284"/>
      <c r="I61" s="284"/>
      <c r="J61" s="284"/>
      <c r="K61" s="284"/>
      <c r="L61" s="284"/>
      <c r="M61" s="284"/>
      <c r="N61" s="284"/>
    </row>
    <row r="62" spans="1:14" ht="15.75" thickBot="1">
      <c r="A62" s="285"/>
      <c r="B62" s="285"/>
      <c r="C62" s="285"/>
      <c r="D62" s="285"/>
      <c r="E62" s="285"/>
      <c r="F62" s="285"/>
      <c r="G62" s="285"/>
      <c r="H62" s="285"/>
      <c r="I62" s="285"/>
      <c r="J62" s="285"/>
      <c r="K62" s="285"/>
      <c r="L62" s="285"/>
      <c r="M62" s="285"/>
      <c r="N62" s="285"/>
    </row>
    <row r="66" spans="1:14">
      <c r="A66" s="302" t="s">
        <v>134</v>
      </c>
      <c r="B66" s="302"/>
      <c r="C66" s="302"/>
      <c r="D66" s="302"/>
      <c r="E66" s="302"/>
      <c r="H66" s="291" t="s">
        <v>133</v>
      </c>
      <c r="I66" s="291"/>
      <c r="J66" s="291"/>
      <c r="K66" s="291"/>
      <c r="L66" s="291"/>
      <c r="M66" s="291"/>
      <c r="N66" s="118"/>
    </row>
    <row r="67" spans="1:14">
      <c r="A67" s="309" t="str">
        <f>+BRAINOV!D51</f>
        <v>Fixed Income</v>
      </c>
      <c r="B67" s="309"/>
      <c r="C67" s="309"/>
      <c r="D67" s="309"/>
      <c r="E67" s="167">
        <f>+BRAINOV!E51</f>
        <v>2.9996999999999999E-2</v>
      </c>
      <c r="H67" s="316" t="str">
        <f>+BRAINOV!D57</f>
        <v>Blue Ships</v>
      </c>
      <c r="I67" s="316"/>
      <c r="J67" s="303">
        <f>+BRAINOV!E57</f>
        <v>4.4261434441087606E-3</v>
      </c>
      <c r="K67" s="304"/>
      <c r="L67" s="304"/>
      <c r="M67" s="304"/>
      <c r="N67" s="118"/>
    </row>
    <row r="68" spans="1:14">
      <c r="A68" s="311" t="str">
        <f>+BRAINOV!D52</f>
        <v>Real Assets</v>
      </c>
      <c r="B68" s="311"/>
      <c r="C68" s="311"/>
      <c r="D68" s="311"/>
      <c r="E68" s="168">
        <f>+BRAINOV!E52</f>
        <v>0.26997300000000002</v>
      </c>
      <c r="H68" s="323" t="str">
        <f>+BRAINOV!D58</f>
        <v>Large Caps</v>
      </c>
      <c r="I68" s="324"/>
      <c r="J68" s="298">
        <f>+BRAINOV!E58</f>
        <v>3.9835290996978856E-2</v>
      </c>
      <c r="K68" s="299"/>
      <c r="L68" s="299"/>
      <c r="M68" s="299"/>
      <c r="N68" s="118"/>
    </row>
    <row r="69" spans="1:14">
      <c r="A69" s="301" t="str">
        <f>+BRAINOV!D53</f>
        <v>Absolute Return</v>
      </c>
      <c r="B69" s="301"/>
      <c r="C69" s="301"/>
      <c r="D69" s="301"/>
      <c r="E69" s="168">
        <f>+BRAINOV!E53</f>
        <v>0.25247475000000003</v>
      </c>
      <c r="H69" s="318" t="str">
        <f>+BRAINOV!D59</f>
        <v>Medium Caps</v>
      </c>
      <c r="I69" s="319"/>
      <c r="J69" s="298">
        <f>+BRAINOV!E59</f>
        <v>3.7253373987915402E-2</v>
      </c>
      <c r="K69" s="299"/>
      <c r="L69" s="299"/>
      <c r="M69" s="299"/>
      <c r="N69" s="118"/>
    </row>
    <row r="70" spans="1:14">
      <c r="A70" s="297" t="str">
        <f>+BRAINOV!D54</f>
        <v>Private Equity</v>
      </c>
      <c r="B70" s="297"/>
      <c r="C70" s="297"/>
      <c r="D70" s="297"/>
      <c r="E70" s="168">
        <f>+BRAINOV!E54</f>
        <v>0.17248274999999999</v>
      </c>
      <c r="H70" s="293" t="str">
        <f>+BRAINOV!D60</f>
        <v>Small Caps</v>
      </c>
      <c r="I70" s="294"/>
      <c r="J70" s="298">
        <f>+BRAINOV!E60</f>
        <v>4.057298157099698E-2</v>
      </c>
      <c r="K70" s="299"/>
      <c r="L70" s="299"/>
      <c r="M70" s="299"/>
      <c r="N70" s="118"/>
    </row>
    <row r="71" spans="1:14" ht="15.75" thickBot="1">
      <c r="A71" s="334" t="str">
        <f>+BRAINOV!D55</f>
        <v>Cash</v>
      </c>
      <c r="B71" s="334"/>
      <c r="C71" s="334"/>
      <c r="D71" s="334"/>
      <c r="E71" s="168">
        <f>+BRAINOV!E55</f>
        <v>1E-4</v>
      </c>
      <c r="H71" s="295" t="str">
        <f>+BRAINOV!D61</f>
        <v>Foreign</v>
      </c>
      <c r="I71" s="296"/>
      <c r="J71" s="307">
        <f>+BRAINOV!E61</f>
        <v>0.15288471000000001</v>
      </c>
      <c r="K71" s="308"/>
      <c r="L71" s="308"/>
      <c r="M71" s="308"/>
    </row>
    <row r="72" spans="1:14" ht="15.75" thickBot="1">
      <c r="A72" s="322" t="str">
        <f>+BRAINOV!D56</f>
        <v>Equity</v>
      </c>
      <c r="B72" s="322"/>
      <c r="C72" s="322"/>
      <c r="D72" s="322"/>
      <c r="E72" s="169">
        <f>+BRAINOV!E56</f>
        <v>0.27497250000000001</v>
      </c>
    </row>
    <row r="76" spans="1:14">
      <c r="E76" s="310" t="str">
        <f>+BRAINOV!D51</f>
        <v>Fixed Income</v>
      </c>
      <c r="F76" s="310"/>
      <c r="G76" s="310"/>
      <c r="H76" s="310"/>
      <c r="I76" s="119">
        <f>+BRAINOV!E51</f>
        <v>2.9996999999999999E-2</v>
      </c>
    </row>
    <row r="77" spans="1:14">
      <c r="E77" s="310" t="str">
        <f>+BRAINOV!D52</f>
        <v>Real Assets</v>
      </c>
      <c r="F77" s="310"/>
      <c r="G77" s="310"/>
      <c r="H77" s="310"/>
      <c r="I77" s="119">
        <f>+BRAINOV!E52</f>
        <v>0.26997300000000002</v>
      </c>
    </row>
    <row r="78" spans="1:14">
      <c r="E78" s="310" t="str">
        <f>+BRAINOV!D53</f>
        <v>Absolute Return</v>
      </c>
      <c r="F78" s="310"/>
      <c r="G78" s="310"/>
      <c r="H78" s="310"/>
      <c r="I78" s="119">
        <f>+BRAINOV!E53</f>
        <v>0.25247475000000003</v>
      </c>
    </row>
    <row r="79" spans="1:14">
      <c r="E79" s="310" t="str">
        <f>+BRAINOV!D54</f>
        <v>Private Equity</v>
      </c>
      <c r="F79" s="310"/>
      <c r="G79" s="310"/>
      <c r="H79" s="310"/>
      <c r="I79" s="119">
        <f>+BRAINOV!E54</f>
        <v>0.17248274999999999</v>
      </c>
    </row>
    <row r="80" spans="1:14">
      <c r="E80" s="310" t="str">
        <f>+BRAINOV!D55</f>
        <v>Cash</v>
      </c>
      <c r="F80" s="310"/>
      <c r="G80" s="310"/>
      <c r="H80" s="310"/>
      <c r="I80" s="119">
        <f>+BRAINOV!E55</f>
        <v>1E-4</v>
      </c>
    </row>
    <row r="81" spans="5:9">
      <c r="E81" s="120" t="str">
        <f>+BRAINOV!D57</f>
        <v>Blue Ships</v>
      </c>
      <c r="F81" s="120"/>
      <c r="G81" s="120"/>
      <c r="H81" s="120"/>
      <c r="I81" s="119">
        <f>+BRAINOV!E57</f>
        <v>4.4261434441087606E-3</v>
      </c>
    </row>
    <row r="82" spans="5:9">
      <c r="E82" s="120" t="str">
        <f>+BRAINOV!D58</f>
        <v>Large Caps</v>
      </c>
      <c r="F82" s="120"/>
      <c r="G82" s="120"/>
      <c r="H82" s="120"/>
      <c r="I82" s="119">
        <f>+BRAINOV!E58</f>
        <v>3.9835290996978856E-2</v>
      </c>
    </row>
    <row r="83" spans="5:9">
      <c r="E83" s="120" t="str">
        <f>+BRAINOV!D59</f>
        <v>Medium Caps</v>
      </c>
      <c r="F83" s="120"/>
      <c r="G83" s="120"/>
      <c r="H83" s="120"/>
      <c r="I83" s="119">
        <f>+BRAINOV!E59</f>
        <v>3.7253373987915402E-2</v>
      </c>
    </row>
    <row r="84" spans="5:9">
      <c r="E84" s="120" t="str">
        <f>+BRAINOV!D60</f>
        <v>Small Caps</v>
      </c>
      <c r="F84" s="120"/>
      <c r="G84" s="120"/>
      <c r="H84" s="120"/>
      <c r="I84" s="119">
        <f>+BRAINOV!E60</f>
        <v>4.057298157099698E-2</v>
      </c>
    </row>
    <row r="85" spans="5:9">
      <c r="E85" s="310" t="str">
        <f>+BRAINOV!D61</f>
        <v>Foreign</v>
      </c>
      <c r="F85" s="310"/>
      <c r="G85" s="310"/>
      <c r="H85" s="310"/>
      <c r="I85" s="119">
        <f>+BRAINOV!E61</f>
        <v>0.15288471000000001</v>
      </c>
    </row>
    <row r="99" spans="1:14">
      <c r="A99" s="305" t="s">
        <v>44</v>
      </c>
      <c r="B99" s="306"/>
      <c r="C99" s="306"/>
      <c r="D99" s="306"/>
      <c r="E99" s="306"/>
      <c r="F99" s="306"/>
      <c r="G99" s="306"/>
      <c r="H99" s="306"/>
      <c r="I99" s="306"/>
      <c r="J99" s="306"/>
      <c r="K99" s="108"/>
      <c r="L99" s="108"/>
      <c r="N99" s="326">
        <v>2</v>
      </c>
    </row>
    <row r="100" spans="1:14" ht="18.75" customHeight="1">
      <c r="A100" s="306"/>
      <c r="B100" s="306"/>
      <c r="C100" s="306"/>
      <c r="D100" s="306"/>
      <c r="E100" s="306"/>
      <c r="F100" s="306"/>
      <c r="G100" s="306"/>
      <c r="H100" s="306"/>
      <c r="I100" s="306"/>
      <c r="J100" s="306"/>
      <c r="K100" s="108"/>
      <c r="L100" s="108"/>
      <c r="N100" s="326"/>
    </row>
    <row r="104" spans="1:14" ht="15" customHeight="1">
      <c r="D104" s="275" t="s">
        <v>131</v>
      </c>
      <c r="E104" s="275"/>
      <c r="F104" s="275"/>
      <c r="G104" s="275"/>
      <c r="H104" s="275"/>
      <c r="I104" s="275"/>
      <c r="J104" s="275"/>
      <c r="K104" s="276" t="str">
        <f>+K55</f>
        <v>YOUR NAME</v>
      </c>
      <c r="L104" s="276"/>
      <c r="M104" s="276"/>
      <c r="N104" s="276"/>
    </row>
    <row r="105" spans="1:14" ht="15" customHeight="1">
      <c r="D105" s="275"/>
      <c r="E105" s="275"/>
      <c r="F105" s="275"/>
      <c r="G105" s="275"/>
      <c r="H105" s="275"/>
      <c r="I105" s="275"/>
      <c r="J105" s="275"/>
      <c r="K105" s="276"/>
      <c r="L105" s="276"/>
      <c r="M105" s="276"/>
      <c r="N105" s="276"/>
    </row>
    <row r="106" spans="1:14">
      <c r="D106" s="314">
        <f ca="1">TODAY()</f>
        <v>40675</v>
      </c>
      <c r="E106" s="314"/>
      <c r="F106" s="314"/>
      <c r="G106" s="314"/>
      <c r="H106" s="314"/>
      <c r="I106" s="314"/>
      <c r="J106" s="314"/>
      <c r="K106" s="314"/>
      <c r="L106" s="314"/>
      <c r="M106" s="314"/>
      <c r="N106" s="314"/>
    </row>
    <row r="108" spans="1:14">
      <c r="A108" s="288" t="str">
        <f>+A59</f>
        <v>This report reflects assumptions contained in the Notes.</v>
      </c>
      <c r="B108" s="289"/>
      <c r="C108" s="289"/>
      <c r="D108" s="289"/>
      <c r="E108" s="289"/>
      <c r="F108" s="289"/>
      <c r="G108" s="289"/>
      <c r="H108" s="289"/>
      <c r="I108" s="289"/>
      <c r="J108" s="289"/>
      <c r="K108" s="289"/>
      <c r="L108" s="289"/>
      <c r="M108" s="289"/>
      <c r="N108" s="289"/>
    </row>
    <row r="109" spans="1:14">
      <c r="A109" s="270" t="s">
        <v>129</v>
      </c>
      <c r="B109" s="270"/>
      <c r="C109" s="270"/>
      <c r="D109" s="270"/>
      <c r="E109" s="270"/>
      <c r="F109" s="270"/>
      <c r="G109" s="270"/>
      <c r="H109" s="270"/>
      <c r="I109" s="270"/>
      <c r="J109" s="270"/>
      <c r="K109" s="270"/>
      <c r="L109" s="270"/>
      <c r="M109" s="270"/>
      <c r="N109" s="270"/>
    </row>
    <row r="110" spans="1:14">
      <c r="A110" s="284" t="s">
        <v>141</v>
      </c>
      <c r="B110" s="284"/>
      <c r="C110" s="284"/>
      <c r="D110" s="284"/>
      <c r="E110" s="284"/>
      <c r="F110" s="284"/>
      <c r="G110" s="284"/>
      <c r="H110" s="284"/>
      <c r="I110" s="284"/>
      <c r="J110" s="284"/>
      <c r="K110" s="284"/>
      <c r="L110" s="284"/>
      <c r="M110" s="284"/>
      <c r="N110" s="284"/>
    </row>
    <row r="111" spans="1:14" ht="15.75" thickBot="1">
      <c r="A111" s="285"/>
      <c r="B111" s="285"/>
      <c r="C111" s="285"/>
      <c r="D111" s="285"/>
      <c r="E111" s="285"/>
      <c r="F111" s="285"/>
      <c r="G111" s="285"/>
      <c r="H111" s="285"/>
      <c r="I111" s="285"/>
      <c r="J111" s="285"/>
      <c r="K111" s="285"/>
      <c r="L111" s="285"/>
      <c r="M111" s="285"/>
      <c r="N111" s="285"/>
    </row>
    <row r="113" spans="1:15">
      <c r="A113" s="126"/>
      <c r="B113" s="269" t="s">
        <v>135</v>
      </c>
      <c r="C113" s="269"/>
      <c r="D113" s="269"/>
      <c r="E113" s="269"/>
      <c r="F113" s="269"/>
      <c r="G113" s="269"/>
      <c r="H113" s="269"/>
      <c r="I113" s="269"/>
      <c r="J113" s="269"/>
      <c r="K113" s="269"/>
      <c r="L113" s="269"/>
      <c r="M113" s="269"/>
      <c r="N113" s="126"/>
    </row>
    <row r="115" spans="1:15" ht="15" customHeight="1">
      <c r="B115" s="104"/>
      <c r="C115" s="104"/>
      <c r="D115" s="271" t="s">
        <v>148</v>
      </c>
      <c r="E115" s="271"/>
      <c r="H115" s="271" t="str">
        <f>+D115</f>
        <v xml:space="preserve">Scenario: </v>
      </c>
      <c r="I115" s="271"/>
    </row>
    <row r="116" spans="1:15" ht="15" customHeight="1">
      <c r="B116" s="104"/>
      <c r="C116" s="104"/>
      <c r="D116" s="271" t="s">
        <v>149</v>
      </c>
      <c r="E116" s="271"/>
      <c r="H116" s="271" t="str">
        <f>+D116</f>
        <v>Equity falling</v>
      </c>
      <c r="I116" s="271"/>
    </row>
    <row r="117" spans="1:15">
      <c r="B117" s="104"/>
      <c r="D117" s="273">
        <v>-0.5</v>
      </c>
      <c r="E117" s="274"/>
      <c r="H117" s="273">
        <v>-1</v>
      </c>
      <c r="I117" s="274"/>
    </row>
    <row r="118" spans="1:15">
      <c r="B118" s="182"/>
      <c r="C118" s="183"/>
      <c r="D118" s="183"/>
      <c r="E118" s="183"/>
      <c r="F118" s="183"/>
      <c r="G118" s="183"/>
      <c r="H118" s="183"/>
      <c r="I118" s="183"/>
      <c r="J118" s="183"/>
      <c r="K118" s="183"/>
      <c r="L118" s="183"/>
      <c r="M118" s="183"/>
    </row>
    <row r="119" spans="1:15">
      <c r="B119" s="182"/>
      <c r="C119" s="267" t="s">
        <v>135</v>
      </c>
      <c r="D119" s="267"/>
      <c r="E119" s="267"/>
      <c r="F119" s="267"/>
      <c r="G119" s="267"/>
      <c r="H119" s="267"/>
      <c r="I119" s="267"/>
      <c r="J119" s="172"/>
      <c r="K119" s="172"/>
      <c r="L119" s="172"/>
      <c r="M119" s="172"/>
      <c r="N119" s="172"/>
      <c r="O119" s="172"/>
    </row>
    <row r="120" spans="1:15">
      <c r="B120" s="183"/>
      <c r="C120" s="267" t="s">
        <v>137</v>
      </c>
      <c r="D120" s="267"/>
      <c r="E120" s="267"/>
      <c r="F120" s="267"/>
      <c r="G120" s="267"/>
      <c r="H120" s="267"/>
      <c r="I120" s="267"/>
      <c r="J120" s="172"/>
      <c r="K120" s="172"/>
      <c r="L120" s="172"/>
      <c r="M120" s="172"/>
      <c r="N120" s="172"/>
      <c r="O120" s="172"/>
    </row>
    <row r="121" spans="1:15">
      <c r="B121" s="183"/>
      <c r="C121" s="268">
        <f>+E174</f>
        <v>-0.430925</v>
      </c>
      <c r="D121" s="268"/>
      <c r="E121" s="268"/>
      <c r="F121" s="268"/>
      <c r="G121" s="268"/>
      <c r="H121" s="268"/>
      <c r="I121" s="268"/>
      <c r="J121" s="172"/>
      <c r="K121" s="172"/>
      <c r="L121" s="172"/>
      <c r="M121" s="172"/>
      <c r="N121" s="172"/>
      <c r="O121" s="172"/>
    </row>
    <row r="122" spans="1:15">
      <c r="B122" s="183"/>
      <c r="C122" s="290" t="s">
        <v>47</v>
      </c>
      <c r="D122" s="290"/>
      <c r="E122" s="290"/>
      <c r="F122" s="290"/>
      <c r="G122" s="290"/>
      <c r="H122" s="290"/>
      <c r="I122" s="290"/>
      <c r="J122" s="172"/>
      <c r="K122" s="172"/>
      <c r="L122" s="172"/>
      <c r="M122" s="172"/>
      <c r="N122" s="172"/>
      <c r="O122" s="172"/>
    </row>
    <row r="123" spans="1:15">
      <c r="B123" s="183"/>
      <c r="C123" s="268" t="s">
        <v>187</v>
      </c>
      <c r="D123" s="268"/>
      <c r="E123" s="268"/>
      <c r="F123" s="268"/>
      <c r="G123" s="268"/>
      <c r="H123" s="268"/>
      <c r="I123" s="268"/>
      <c r="J123" s="287" t="s">
        <v>133</v>
      </c>
      <c r="K123" s="287"/>
      <c r="L123" s="287"/>
      <c r="M123" s="172"/>
      <c r="N123" s="286" t="s">
        <v>189</v>
      </c>
      <c r="O123" s="286"/>
    </row>
    <row r="124" spans="1:15">
      <c r="B124" s="183"/>
      <c r="C124" s="268">
        <f>+BRAINOV!B68-J124</f>
        <v>0.569075</v>
      </c>
      <c r="D124" s="268"/>
      <c r="E124" s="268"/>
      <c r="F124" s="268"/>
      <c r="G124" s="268"/>
      <c r="H124" s="268"/>
      <c r="I124" s="268"/>
      <c r="J124" s="354">
        <f>ABS(+BRAINOV!G45+BRAINOV!H45)</f>
        <v>0.22375</v>
      </c>
      <c r="K124" s="287"/>
      <c r="L124" s="287"/>
      <c r="M124" s="172"/>
      <c r="N124" s="185">
        <f>100%-C124-J124</f>
        <v>0.207175</v>
      </c>
      <c r="O124" s="185">
        <f>100%-C126</f>
        <v>0.430925</v>
      </c>
    </row>
    <row r="125" spans="1:15">
      <c r="B125" s="183"/>
      <c r="C125" s="268" t="s">
        <v>188</v>
      </c>
      <c r="D125" s="268"/>
      <c r="E125" s="268"/>
      <c r="F125" s="268"/>
      <c r="G125" s="268"/>
      <c r="H125" s="268"/>
      <c r="I125" s="268"/>
      <c r="J125" s="287" t="str">
        <f>+J123</f>
        <v>EQUITY</v>
      </c>
      <c r="K125" s="287"/>
      <c r="L125" s="287"/>
      <c r="M125" s="172"/>
      <c r="N125" s="186"/>
      <c r="O125" s="172"/>
    </row>
    <row r="126" spans="1:15">
      <c r="B126" s="183"/>
      <c r="C126" s="268">
        <f>+BRAINOV!B70</f>
        <v>0.569075</v>
      </c>
      <c r="D126" s="268"/>
      <c r="E126" s="268"/>
      <c r="F126" s="268"/>
      <c r="G126" s="268"/>
      <c r="H126" s="268"/>
      <c r="I126" s="268"/>
      <c r="J126" s="354">
        <v>0</v>
      </c>
      <c r="K126" s="354"/>
      <c r="L126" s="354"/>
      <c r="M126" s="172"/>
      <c r="N126" s="172"/>
      <c r="O126" s="172"/>
    </row>
    <row r="127" spans="1:15">
      <c r="B127" s="183"/>
      <c r="C127" s="183"/>
      <c r="D127" s="183"/>
      <c r="E127" s="183"/>
      <c r="F127" s="183"/>
      <c r="G127" s="183"/>
      <c r="H127" s="183"/>
      <c r="I127" s="183"/>
      <c r="J127" s="183"/>
      <c r="K127" s="183"/>
      <c r="L127" s="183"/>
      <c r="M127" s="183"/>
    </row>
    <row r="128" spans="1:15">
      <c r="B128" s="272" t="s">
        <v>181</v>
      </c>
      <c r="C128" s="272"/>
      <c r="D128" s="272"/>
      <c r="E128" s="272"/>
      <c r="F128" s="272"/>
      <c r="G128" s="272"/>
      <c r="H128" s="272"/>
      <c r="I128" s="272"/>
      <c r="J128" s="272"/>
      <c r="K128" s="272"/>
      <c r="L128" s="272"/>
      <c r="M128" s="272"/>
    </row>
    <row r="129" spans="1:15">
      <c r="B129" s="269" t="s">
        <v>136</v>
      </c>
      <c r="C129" s="269"/>
      <c r="D129" s="269"/>
      <c r="E129" s="269"/>
      <c r="F129" s="269"/>
      <c r="G129" s="269"/>
      <c r="H129" s="269"/>
      <c r="I129" s="269"/>
      <c r="J129" s="269"/>
      <c r="K129" s="269"/>
      <c r="L129" s="269"/>
      <c r="M129" s="269"/>
    </row>
    <row r="131" spans="1:15" ht="15" customHeight="1">
      <c r="B131" s="104"/>
      <c r="C131" s="104"/>
      <c r="D131" s="271" t="str">
        <f>+D115</f>
        <v xml:space="preserve">Scenario: </v>
      </c>
      <c r="E131" s="271"/>
      <c r="H131" s="271" t="str">
        <f>+D115</f>
        <v xml:space="preserve">Scenario: </v>
      </c>
      <c r="I131" s="271"/>
    </row>
    <row r="132" spans="1:15" ht="15" customHeight="1">
      <c r="B132" s="104"/>
      <c r="C132" s="104"/>
      <c r="D132" s="271" t="str">
        <f>+D116</f>
        <v>Equity falling</v>
      </c>
      <c r="E132" s="271"/>
      <c r="H132" s="271" t="str">
        <f>+D132</f>
        <v>Equity falling</v>
      </c>
      <c r="I132" s="271"/>
    </row>
    <row r="133" spans="1:15">
      <c r="B133" s="104"/>
      <c r="D133" s="273">
        <v>-0.5</v>
      </c>
      <c r="E133" s="274"/>
      <c r="H133" s="273">
        <v>-1</v>
      </c>
      <c r="I133" s="274"/>
    </row>
    <row r="134" spans="1:15">
      <c r="A134" s="127"/>
      <c r="B134" s="184"/>
      <c r="C134" s="184"/>
      <c r="D134" s="184"/>
      <c r="E134" s="184"/>
      <c r="F134" s="184"/>
      <c r="G134" s="184"/>
      <c r="H134" s="184"/>
      <c r="I134" s="184"/>
      <c r="J134" s="184"/>
      <c r="K134" s="183"/>
      <c r="L134" s="183"/>
      <c r="M134" s="183"/>
      <c r="N134" s="183"/>
    </row>
    <row r="135" spans="1:15">
      <c r="A135" s="127"/>
      <c r="B135" s="184"/>
      <c r="C135" s="267" t="s">
        <v>136</v>
      </c>
      <c r="D135" s="267"/>
      <c r="E135" s="267"/>
      <c r="F135" s="267"/>
      <c r="G135" s="267"/>
      <c r="H135" s="267"/>
      <c r="I135" s="267"/>
      <c r="J135" s="127"/>
      <c r="K135" s="172"/>
      <c r="L135" s="172"/>
      <c r="M135" s="172"/>
      <c r="N135" s="172"/>
      <c r="O135" s="172"/>
    </row>
    <row r="136" spans="1:15">
      <c r="A136" s="127"/>
      <c r="B136" s="184"/>
      <c r="C136" s="267" t="str">
        <f>+C120</f>
        <v xml:space="preserve">Investor's risk tolerance </v>
      </c>
      <c r="D136" s="267"/>
      <c r="E136" s="267"/>
      <c r="F136" s="267"/>
      <c r="G136" s="267"/>
      <c r="H136" s="267"/>
      <c r="I136" s="267"/>
      <c r="J136" s="127"/>
      <c r="K136" s="172"/>
      <c r="L136" s="172"/>
      <c r="M136" s="172"/>
      <c r="N136" s="172"/>
      <c r="O136" s="172"/>
    </row>
    <row r="137" spans="1:15">
      <c r="A137" s="127"/>
      <c r="B137" s="184"/>
      <c r="C137" s="268">
        <f>+E173</f>
        <v>-0.44750000000000001</v>
      </c>
      <c r="D137" s="268"/>
      <c r="E137" s="268"/>
      <c r="F137" s="268"/>
      <c r="G137" s="268"/>
      <c r="H137" s="268"/>
      <c r="I137" s="268"/>
      <c r="J137" s="127"/>
      <c r="K137" s="172"/>
      <c r="L137" s="172"/>
      <c r="M137" s="172"/>
      <c r="N137" s="172"/>
      <c r="O137" s="172"/>
    </row>
    <row r="138" spans="1:15">
      <c r="A138" s="127"/>
      <c r="B138" s="184"/>
      <c r="C138" s="290" t="s">
        <v>47</v>
      </c>
      <c r="D138" s="290"/>
      <c r="E138" s="290"/>
      <c r="F138" s="290"/>
      <c r="G138" s="290"/>
      <c r="H138" s="290"/>
      <c r="I138" s="290"/>
      <c r="J138" s="127"/>
      <c r="K138" s="172"/>
      <c r="L138" s="172"/>
      <c r="M138" s="172"/>
      <c r="N138" s="172"/>
      <c r="O138" s="172"/>
    </row>
    <row r="139" spans="1:15">
      <c r="A139" s="127"/>
      <c r="B139" s="184"/>
      <c r="C139" s="268" t="str">
        <f>+C123</f>
        <v>ACTIVOS DE RISCO PERDEM 50%</v>
      </c>
      <c r="D139" s="268"/>
      <c r="E139" s="268"/>
      <c r="F139" s="268"/>
      <c r="G139" s="268"/>
      <c r="H139" s="268"/>
      <c r="I139" s="268"/>
      <c r="J139" s="352" t="str">
        <f>+J123</f>
        <v>EQUITY</v>
      </c>
      <c r="K139" s="352"/>
      <c r="L139" s="352"/>
      <c r="M139" s="172"/>
      <c r="N139" s="287" t="str">
        <f>+N123</f>
        <v>LOSS</v>
      </c>
      <c r="O139" s="287"/>
    </row>
    <row r="140" spans="1:15">
      <c r="A140" s="127"/>
      <c r="B140" s="184"/>
      <c r="C140" s="268">
        <f>+BRAINOV!B77-J140</f>
        <v>0.5525000000000001</v>
      </c>
      <c r="D140" s="268"/>
      <c r="E140" s="268"/>
      <c r="F140" s="268"/>
      <c r="G140" s="268"/>
      <c r="H140" s="268"/>
      <c r="I140" s="268"/>
      <c r="J140" s="353">
        <f>+J124</f>
        <v>0.22375</v>
      </c>
      <c r="K140" s="352"/>
      <c r="L140" s="352"/>
      <c r="M140" s="172"/>
      <c r="N140" s="187">
        <f>100%-C124-J124</f>
        <v>0.207175</v>
      </c>
      <c r="O140" s="187">
        <f>100%-C126</f>
        <v>0.430925</v>
      </c>
    </row>
    <row r="141" spans="1:15">
      <c r="A141" s="127"/>
      <c r="B141" s="184"/>
      <c r="C141" s="268" t="str">
        <f>+C125</f>
        <v>ACTIVOS DE RISCO PERDEM 100%</v>
      </c>
      <c r="D141" s="268"/>
      <c r="E141" s="268"/>
      <c r="F141" s="268"/>
      <c r="G141" s="268"/>
      <c r="H141" s="268"/>
      <c r="I141" s="268"/>
      <c r="J141" s="352" t="str">
        <f>+J139</f>
        <v>EQUITY</v>
      </c>
      <c r="K141" s="352"/>
      <c r="L141" s="352"/>
      <c r="M141" s="172"/>
      <c r="N141" s="172"/>
      <c r="O141" s="172"/>
    </row>
    <row r="142" spans="1:15">
      <c r="A142" s="127"/>
      <c r="B142" s="184"/>
      <c r="C142" s="268">
        <f>+BRAINOV!B79</f>
        <v>0.55249999999999999</v>
      </c>
      <c r="D142" s="268"/>
      <c r="E142" s="268"/>
      <c r="F142" s="268"/>
      <c r="G142" s="268"/>
      <c r="H142" s="268"/>
      <c r="I142" s="268"/>
      <c r="J142" s="352">
        <v>0</v>
      </c>
      <c r="K142" s="352"/>
      <c r="L142" s="352"/>
      <c r="M142" s="172"/>
      <c r="N142" s="172"/>
      <c r="O142" s="172"/>
    </row>
    <row r="143" spans="1:15">
      <c r="A143" s="127"/>
      <c r="B143" s="184"/>
      <c r="C143" s="184"/>
      <c r="D143" s="184"/>
      <c r="E143" s="184"/>
      <c r="F143" s="184"/>
      <c r="G143" s="184"/>
      <c r="H143" s="184"/>
      <c r="I143" s="184"/>
      <c r="J143" s="184"/>
      <c r="K143" s="183"/>
      <c r="L143" s="183"/>
      <c r="M143" s="183"/>
      <c r="N143" s="183"/>
    </row>
    <row r="144" spans="1:15">
      <c r="A144" s="127"/>
      <c r="B144" s="184"/>
      <c r="C144" s="184"/>
      <c r="D144" s="184"/>
      <c r="E144" s="184"/>
      <c r="F144" s="184"/>
      <c r="G144" s="184"/>
      <c r="H144" s="184"/>
      <c r="I144" s="184"/>
      <c r="J144" s="184"/>
      <c r="K144" s="183"/>
      <c r="L144" s="183"/>
      <c r="M144" s="183"/>
      <c r="N144" s="183"/>
    </row>
    <row r="145" spans="1:14">
      <c r="A145" s="127"/>
      <c r="B145" s="127"/>
      <c r="C145" s="127"/>
      <c r="D145" s="127"/>
      <c r="E145" s="127"/>
      <c r="F145" s="127"/>
      <c r="G145" s="127"/>
      <c r="H145" s="127"/>
      <c r="I145" s="127"/>
      <c r="J145" s="127"/>
    </row>
    <row r="149" spans="1:14">
      <c r="A149" s="305" t="s">
        <v>44</v>
      </c>
      <c r="B149" s="306"/>
      <c r="C149" s="306"/>
      <c r="D149" s="306"/>
      <c r="E149" s="306"/>
      <c r="F149" s="306"/>
      <c r="G149" s="306"/>
      <c r="H149" s="306"/>
      <c r="I149" s="306"/>
      <c r="J149" s="306"/>
      <c r="K149" s="108"/>
      <c r="L149" s="108"/>
      <c r="N149" s="326">
        <v>3</v>
      </c>
    </row>
    <row r="150" spans="1:14" ht="18.75" customHeight="1">
      <c r="A150" s="306"/>
      <c r="B150" s="306"/>
      <c r="C150" s="306"/>
      <c r="D150" s="306"/>
      <c r="E150" s="306"/>
      <c r="F150" s="306"/>
      <c r="G150" s="306"/>
      <c r="H150" s="306"/>
      <c r="I150" s="306"/>
      <c r="J150" s="306"/>
      <c r="K150" s="108"/>
      <c r="L150" s="108"/>
      <c r="N150" s="326"/>
    </row>
    <row r="154" spans="1:14" ht="15" customHeight="1">
      <c r="D154" s="275" t="s">
        <v>131</v>
      </c>
      <c r="E154" s="275"/>
      <c r="F154" s="275"/>
      <c r="G154" s="275"/>
      <c r="H154" s="275"/>
      <c r="I154" s="275"/>
      <c r="J154" s="275"/>
      <c r="K154" s="276" t="str">
        <f>+K104</f>
        <v>YOUR NAME</v>
      </c>
      <c r="L154" s="276"/>
      <c r="M154" s="276"/>
      <c r="N154" s="276"/>
    </row>
    <row r="155" spans="1:14" ht="15" customHeight="1">
      <c r="D155" s="275"/>
      <c r="E155" s="275"/>
      <c r="F155" s="275"/>
      <c r="G155" s="275"/>
      <c r="H155" s="275"/>
      <c r="I155" s="275"/>
      <c r="J155" s="275"/>
      <c r="K155" s="276"/>
      <c r="L155" s="276"/>
      <c r="M155" s="276"/>
      <c r="N155" s="276"/>
    </row>
    <row r="156" spans="1:14">
      <c r="D156" s="314">
        <f ca="1">TODAY()</f>
        <v>40675</v>
      </c>
      <c r="E156" s="314"/>
      <c r="F156" s="314"/>
      <c r="G156" s="314"/>
      <c r="H156" s="314"/>
      <c r="I156" s="314"/>
      <c r="J156" s="314"/>
      <c r="K156" s="314"/>
      <c r="L156" s="314"/>
      <c r="M156" s="314"/>
      <c r="N156" s="314"/>
    </row>
    <row r="158" spans="1:14">
      <c r="A158" s="288" t="str">
        <f>+A108</f>
        <v>This report reflects assumptions contained in the Notes.</v>
      </c>
      <c r="B158" s="289"/>
      <c r="C158" s="289"/>
      <c r="D158" s="289"/>
      <c r="E158" s="289"/>
      <c r="F158" s="289"/>
      <c r="G158" s="289"/>
      <c r="H158" s="289"/>
      <c r="I158" s="289"/>
      <c r="J158" s="289"/>
      <c r="K158" s="289"/>
      <c r="L158" s="289"/>
      <c r="M158" s="289"/>
      <c r="N158" s="289"/>
    </row>
    <row r="159" spans="1:14">
      <c r="A159" s="270" t="s">
        <v>129</v>
      </c>
      <c r="B159" s="270"/>
      <c r="C159" s="270"/>
      <c r="D159" s="270"/>
      <c r="E159" s="270"/>
      <c r="F159" s="270"/>
      <c r="G159" s="270"/>
      <c r="H159" s="270"/>
      <c r="I159" s="270"/>
      <c r="J159" s="270"/>
      <c r="K159" s="270"/>
      <c r="L159" s="270"/>
      <c r="M159" s="270"/>
      <c r="N159" s="270"/>
    </row>
    <row r="160" spans="1:14">
      <c r="A160" s="284" t="s">
        <v>125</v>
      </c>
      <c r="B160" s="284"/>
      <c r="C160" s="284"/>
      <c r="D160" s="284"/>
      <c r="E160" s="284"/>
      <c r="F160" s="284"/>
      <c r="G160" s="284"/>
      <c r="H160" s="284"/>
      <c r="I160" s="284"/>
      <c r="J160" s="284"/>
      <c r="K160" s="284"/>
      <c r="L160" s="284"/>
      <c r="M160" s="284"/>
      <c r="N160" s="284"/>
    </row>
    <row r="161" spans="1:14" ht="15.75" thickBot="1">
      <c r="A161" s="285"/>
      <c r="B161" s="285"/>
      <c r="C161" s="285"/>
      <c r="D161" s="285"/>
      <c r="E161" s="285"/>
      <c r="F161" s="285"/>
      <c r="G161" s="285"/>
      <c r="H161" s="285"/>
      <c r="I161" s="285"/>
      <c r="J161" s="285"/>
      <c r="K161" s="285"/>
      <c r="L161" s="285"/>
      <c r="M161" s="285"/>
      <c r="N161" s="285"/>
    </row>
    <row r="164" spans="1:14">
      <c r="A164" s="269" t="s">
        <v>152</v>
      </c>
      <c r="B164" s="269"/>
      <c r="C164" s="269"/>
      <c r="D164" s="269"/>
      <c r="E164" s="269"/>
      <c r="F164" s="269"/>
      <c r="H164" s="269" t="s">
        <v>64</v>
      </c>
      <c r="I164" s="269"/>
      <c r="J164" s="269"/>
      <c r="K164" s="269"/>
      <c r="L164" s="269"/>
      <c r="M164" s="269"/>
      <c r="N164" s="269"/>
    </row>
    <row r="165" spans="1:14" ht="15.75" thickBot="1">
      <c r="A165" s="283" t="str">
        <f>+'Calculator } ASSET ALLOCATOR'!F31</f>
        <v>Age</v>
      </c>
      <c r="B165" s="283"/>
      <c r="C165" s="283"/>
      <c r="D165" s="283"/>
      <c r="E165" s="320">
        <f>+BRAINOV!E64</f>
        <v>35</v>
      </c>
      <c r="F165" s="320"/>
    </row>
    <row r="166" spans="1:14" ht="15" customHeight="1">
      <c r="A166" s="317" t="str">
        <f>+'Calculator } ASSET ALLOCATOR'!F29</f>
        <v>Current Assets</v>
      </c>
      <c r="B166" s="317"/>
      <c r="C166" s="317"/>
      <c r="D166" s="317"/>
      <c r="E166" s="321">
        <f>+BRAINOV!E65</f>
        <v>160000</v>
      </c>
      <c r="F166" s="321"/>
      <c r="H166" s="265">
        <f>+BRAINOV!K59</f>
        <v>5.34</v>
      </c>
      <c r="I166" s="277" t="str">
        <f>+BRAINOV!L59</f>
        <v>BALANCED</v>
      </c>
      <c r="J166" s="277"/>
      <c r="K166" s="277"/>
      <c r="L166" s="277"/>
      <c r="M166" s="277"/>
      <c r="N166" s="278"/>
    </row>
    <row r="167" spans="1:14" ht="15" customHeight="1" thickBot="1">
      <c r="A167" s="283" t="str">
        <f>+'Calculator } ASSET ALLOCATOR'!F30</f>
        <v>Annual Income</v>
      </c>
      <c r="B167" s="283"/>
      <c r="C167" s="283"/>
      <c r="D167" s="283"/>
      <c r="E167" s="325">
        <f>+BRAINOV!E66</f>
        <v>80000</v>
      </c>
      <c r="F167" s="325"/>
      <c r="H167" s="266"/>
      <c r="I167" s="279"/>
      <c r="J167" s="279"/>
      <c r="K167" s="279"/>
      <c r="L167" s="279"/>
      <c r="M167" s="279"/>
      <c r="N167" s="280"/>
    </row>
    <row r="168" spans="1:14" ht="15.75" thickBot="1">
      <c r="A168" s="317" t="str">
        <f>+'Calculator } ASSET ALLOCATOR'!F28</f>
        <v>Portfolio Income Need</v>
      </c>
      <c r="B168" s="317"/>
      <c r="C168" s="317"/>
      <c r="D168" s="317"/>
      <c r="E168" s="312">
        <f>+BRAINOV!E67</f>
        <v>0</v>
      </c>
      <c r="F168" s="312"/>
    </row>
    <row r="169" spans="1:14" ht="15" customHeight="1">
      <c r="A169" s="283" t="s">
        <v>140</v>
      </c>
      <c r="B169" s="283"/>
      <c r="C169" s="283"/>
      <c r="D169" s="283"/>
      <c r="E169" s="320" t="str">
        <f>+BRAINOV!E68</f>
        <v>between 1 and 3 years</v>
      </c>
      <c r="F169" s="320"/>
      <c r="H169" s="337" t="s">
        <v>142</v>
      </c>
      <c r="I169" s="338"/>
      <c r="J169" s="133"/>
      <c r="K169" s="281">
        <v>100</v>
      </c>
      <c r="L169" s="282"/>
      <c r="M169" s="282"/>
      <c r="N169" s="137" t="s">
        <v>143</v>
      </c>
    </row>
    <row r="170" spans="1:14" ht="15.75" customHeight="1" thickBot="1">
      <c r="A170" s="336" t="s">
        <v>139</v>
      </c>
      <c r="B170" s="336"/>
      <c r="C170" s="336"/>
      <c r="D170" s="336"/>
      <c r="E170" s="341">
        <f>+BRAINOV!E69</f>
        <v>5.34</v>
      </c>
      <c r="F170" s="341"/>
      <c r="H170" s="337"/>
      <c r="I170" s="338"/>
      <c r="J170" s="134"/>
      <c r="K170" s="335">
        <v>90</v>
      </c>
      <c r="L170" s="335"/>
      <c r="M170" s="335"/>
    </row>
    <row r="171" spans="1:14" ht="15" customHeight="1">
      <c r="H171" s="337"/>
      <c r="I171" s="338"/>
      <c r="J171" s="134"/>
      <c r="K171" s="335">
        <v>80</v>
      </c>
      <c r="L171" s="335"/>
      <c r="M171" s="335"/>
      <c r="N171" s="136" t="s">
        <v>144</v>
      </c>
    </row>
    <row r="172" spans="1:14" ht="15" customHeight="1">
      <c r="A172" s="269" t="s">
        <v>151</v>
      </c>
      <c r="B172" s="269"/>
      <c r="C172" s="269"/>
      <c r="D172" s="269"/>
      <c r="E172" s="269"/>
      <c r="F172" s="269"/>
      <c r="H172" s="337"/>
      <c r="I172" s="338"/>
      <c r="J172" s="134"/>
      <c r="K172" s="335">
        <v>70</v>
      </c>
      <c r="L172" s="335"/>
      <c r="M172" s="335"/>
    </row>
    <row r="173" spans="1:14" ht="15" customHeight="1">
      <c r="A173" s="283" t="s">
        <v>184</v>
      </c>
      <c r="B173" s="283"/>
      <c r="C173" s="283"/>
      <c r="D173" s="283"/>
      <c r="E173" s="339">
        <f>+BRAINOV!B79-100%</f>
        <v>-0.44750000000000001</v>
      </c>
      <c r="F173" s="339"/>
      <c r="H173" s="337"/>
      <c r="I173" s="338"/>
      <c r="J173" s="134"/>
      <c r="K173" s="335">
        <v>60</v>
      </c>
      <c r="L173" s="335"/>
      <c r="M173" s="335"/>
    </row>
    <row r="174" spans="1:14" ht="15.75" thickBot="1">
      <c r="A174" s="336" t="s">
        <v>185</v>
      </c>
      <c r="B174" s="336"/>
      <c r="C174" s="336"/>
      <c r="D174" s="336"/>
      <c r="E174" s="340">
        <f>+BRAINOV!B70-100%</f>
        <v>-0.430925</v>
      </c>
      <c r="F174" s="340"/>
      <c r="H174" s="337"/>
      <c r="I174" s="338"/>
      <c r="J174" s="134"/>
      <c r="K174" s="281">
        <v>50</v>
      </c>
      <c r="L174" s="282"/>
      <c r="M174" s="282"/>
      <c r="N174" s="137" t="s">
        <v>145</v>
      </c>
    </row>
    <row r="175" spans="1:14">
      <c r="A175" s="351" t="s">
        <v>186</v>
      </c>
      <c r="B175" s="351"/>
      <c r="C175" s="351"/>
      <c r="D175" s="351"/>
      <c r="E175" s="351"/>
      <c r="F175" s="351"/>
      <c r="J175" s="134"/>
      <c r="K175" s="335">
        <v>40</v>
      </c>
      <c r="L175" s="335"/>
      <c r="M175" s="335"/>
    </row>
    <row r="176" spans="1:14">
      <c r="A176" s="337" t="s">
        <v>150</v>
      </c>
      <c r="B176" s="337"/>
      <c r="C176" s="337"/>
      <c r="D176" s="337"/>
      <c r="E176" s="337"/>
      <c r="F176" s="337"/>
      <c r="G176" s="337"/>
      <c r="H176" s="337"/>
      <c r="I176" s="338"/>
      <c r="J176" s="134"/>
      <c r="K176" s="335">
        <v>30</v>
      </c>
      <c r="L176" s="335"/>
      <c r="M176" s="335"/>
    </row>
    <row r="177" spans="1:17">
      <c r="A177" s="337"/>
      <c r="B177" s="337"/>
      <c r="C177" s="337"/>
      <c r="D177" s="337"/>
      <c r="E177" s="337"/>
      <c r="F177" s="337"/>
      <c r="G177" s="337"/>
      <c r="H177" s="337"/>
      <c r="I177" s="338"/>
      <c r="J177" s="134"/>
      <c r="K177" s="335">
        <v>20</v>
      </c>
      <c r="L177" s="335"/>
      <c r="M177" s="335"/>
      <c r="N177" s="136" t="s">
        <v>146</v>
      </c>
    </row>
    <row r="178" spans="1:17">
      <c r="A178" s="337"/>
      <c r="B178" s="337"/>
      <c r="C178" s="337"/>
      <c r="D178" s="337"/>
      <c r="E178" s="337"/>
      <c r="F178" s="337"/>
      <c r="G178" s="337"/>
      <c r="H178" s="337"/>
      <c r="I178" s="338"/>
      <c r="J178" s="134"/>
      <c r="K178" s="335">
        <v>10</v>
      </c>
      <c r="L178" s="335"/>
      <c r="M178" s="335"/>
    </row>
    <row r="179" spans="1:17" ht="15.75" thickBot="1">
      <c r="A179" s="337"/>
      <c r="B179" s="337"/>
      <c r="C179" s="337"/>
      <c r="D179" s="337"/>
      <c r="E179" s="337"/>
      <c r="F179" s="337"/>
      <c r="G179" s="337"/>
      <c r="H179" s="337"/>
      <c r="I179" s="338"/>
      <c r="J179" s="135"/>
      <c r="K179" s="281">
        <v>0</v>
      </c>
      <c r="L179" s="282"/>
      <c r="M179" s="282"/>
      <c r="N179" s="137" t="s">
        <v>147</v>
      </c>
    </row>
    <row r="181" spans="1:17" ht="15" customHeight="1">
      <c r="A181" s="284" t="s">
        <v>161</v>
      </c>
      <c r="B181" s="284"/>
      <c r="C181" s="284"/>
      <c r="D181" s="284"/>
      <c r="E181" s="284"/>
      <c r="F181" s="284"/>
      <c r="G181" s="284"/>
      <c r="H181" s="284"/>
      <c r="I181" s="284"/>
      <c r="J181" s="284"/>
      <c r="K181" s="284"/>
      <c r="L181" s="284"/>
      <c r="M181" s="284"/>
      <c r="N181" s="284"/>
      <c r="P181" s="132"/>
      <c r="Q181" s="132"/>
    </row>
    <row r="182" spans="1:17" ht="15" customHeight="1" thickBot="1">
      <c r="A182" s="285"/>
      <c r="B182" s="285"/>
      <c r="C182" s="285"/>
      <c r="D182" s="285"/>
      <c r="E182" s="285"/>
      <c r="F182" s="285"/>
      <c r="G182" s="285"/>
      <c r="H182" s="285"/>
      <c r="I182" s="285"/>
      <c r="J182" s="285"/>
      <c r="K182" s="285"/>
      <c r="L182" s="285"/>
      <c r="M182" s="285"/>
      <c r="N182" s="285"/>
      <c r="P182" s="132"/>
      <c r="Q182" s="132"/>
    </row>
    <row r="184" spans="1:17" ht="15" customHeight="1">
      <c r="A184" s="343" t="s">
        <v>138</v>
      </c>
      <c r="B184" s="343"/>
      <c r="C184" s="343"/>
      <c r="D184" s="343"/>
      <c r="E184" s="343"/>
      <c r="F184" s="343"/>
      <c r="G184" s="343"/>
      <c r="H184" s="343"/>
      <c r="I184" s="343"/>
      <c r="J184" s="343"/>
      <c r="K184" s="343"/>
      <c r="L184" s="343"/>
      <c r="M184" s="343"/>
      <c r="N184" s="343"/>
    </row>
    <row r="185" spans="1:17" ht="15" customHeight="1">
      <c r="A185" s="342" t="s">
        <v>156</v>
      </c>
      <c r="B185" s="342"/>
      <c r="C185" s="342"/>
      <c r="D185" s="342"/>
      <c r="E185" s="342"/>
      <c r="F185" s="342"/>
      <c r="G185" s="342"/>
      <c r="H185" s="342"/>
      <c r="I185" s="342"/>
      <c r="J185" s="342"/>
      <c r="K185" s="342"/>
      <c r="L185" s="342"/>
      <c r="M185" s="342"/>
      <c r="N185" s="342"/>
    </row>
    <row r="186" spans="1:17">
      <c r="A186" s="342"/>
      <c r="B186" s="342"/>
      <c r="C186" s="342"/>
      <c r="D186" s="342"/>
      <c r="E186" s="342"/>
      <c r="F186" s="342"/>
      <c r="G186" s="342"/>
      <c r="H186" s="342"/>
      <c r="I186" s="342"/>
      <c r="J186" s="342"/>
      <c r="K186" s="342"/>
      <c r="L186" s="342"/>
      <c r="M186" s="342"/>
      <c r="N186" s="342"/>
    </row>
    <row r="187" spans="1:17">
      <c r="A187" s="342"/>
      <c r="B187" s="342"/>
      <c r="C187" s="342"/>
      <c r="D187" s="342"/>
      <c r="E187" s="342"/>
      <c r="F187" s="342"/>
      <c r="G187" s="342"/>
      <c r="H187" s="342"/>
      <c r="I187" s="342"/>
      <c r="J187" s="342"/>
      <c r="K187" s="342"/>
      <c r="L187" s="342"/>
      <c r="M187" s="342"/>
      <c r="N187" s="342"/>
    </row>
    <row r="188" spans="1:17">
      <c r="A188" s="342"/>
      <c r="B188" s="342"/>
      <c r="C188" s="342"/>
      <c r="D188" s="342"/>
      <c r="E188" s="342"/>
      <c r="F188" s="342"/>
      <c r="G188" s="342"/>
      <c r="H188" s="342"/>
      <c r="I188" s="342"/>
      <c r="J188" s="342"/>
      <c r="K188" s="342"/>
      <c r="L188" s="342"/>
      <c r="M188" s="342"/>
      <c r="N188" s="342"/>
    </row>
    <row r="189" spans="1:17">
      <c r="A189" s="343" t="s">
        <v>153</v>
      </c>
      <c r="B189" s="343"/>
      <c r="C189" s="343"/>
      <c r="D189" s="343"/>
      <c r="E189" s="343"/>
      <c r="F189" s="343"/>
      <c r="G189" s="343"/>
      <c r="H189" s="343"/>
      <c r="I189" s="343"/>
      <c r="J189" s="343"/>
      <c r="K189" s="343"/>
      <c r="L189" s="343"/>
      <c r="M189" s="343"/>
      <c r="N189" s="343"/>
    </row>
    <row r="190" spans="1:17">
      <c r="A190" s="342" t="s">
        <v>157</v>
      </c>
      <c r="B190" s="342"/>
      <c r="C190" s="342"/>
      <c r="D190" s="342"/>
      <c r="E190" s="342"/>
      <c r="F190" s="342"/>
      <c r="G190" s="342"/>
      <c r="H190" s="342"/>
      <c r="I190" s="342"/>
      <c r="J190" s="342"/>
      <c r="K190" s="342"/>
      <c r="L190" s="342"/>
      <c r="M190" s="342"/>
      <c r="N190" s="342"/>
    </row>
    <row r="191" spans="1:17" ht="15" customHeight="1">
      <c r="A191" s="342"/>
      <c r="B191" s="342"/>
      <c r="C191" s="342"/>
      <c r="D191" s="342"/>
      <c r="E191" s="342"/>
      <c r="F191" s="342"/>
      <c r="G191" s="342"/>
      <c r="H191" s="342"/>
      <c r="I191" s="342"/>
      <c r="J191" s="342"/>
      <c r="K191" s="342"/>
      <c r="L191" s="342"/>
      <c r="M191" s="342"/>
      <c r="N191" s="342"/>
    </row>
    <row r="192" spans="1:17" ht="15" customHeight="1">
      <c r="A192" s="342"/>
      <c r="B192" s="342"/>
      <c r="C192" s="342"/>
      <c r="D192" s="342"/>
      <c r="E192" s="342"/>
      <c r="F192" s="342"/>
      <c r="G192" s="342"/>
      <c r="H192" s="342"/>
      <c r="I192" s="342"/>
      <c r="J192" s="342"/>
      <c r="K192" s="342"/>
      <c r="L192" s="342"/>
      <c r="M192" s="342"/>
      <c r="N192" s="342"/>
    </row>
    <row r="193" spans="1:14">
      <c r="A193" s="343" t="s">
        <v>154</v>
      </c>
      <c r="B193" s="343"/>
      <c r="C193" s="343"/>
      <c r="D193" s="343"/>
      <c r="E193" s="343"/>
      <c r="F193" s="343"/>
      <c r="G193" s="343"/>
      <c r="H193" s="343"/>
      <c r="I193" s="343"/>
      <c r="J193" s="343"/>
      <c r="K193" s="343"/>
      <c r="L193" s="343"/>
      <c r="M193" s="343"/>
      <c r="N193" s="343"/>
    </row>
    <row r="194" spans="1:14">
      <c r="A194" s="342" t="s">
        <v>171</v>
      </c>
      <c r="B194" s="342"/>
      <c r="C194" s="342"/>
      <c r="D194" s="342"/>
      <c r="E194" s="342"/>
      <c r="F194" s="342"/>
      <c r="G194" s="342"/>
      <c r="H194" s="342"/>
      <c r="I194" s="342"/>
      <c r="J194" s="342"/>
      <c r="K194" s="342"/>
      <c r="L194" s="342"/>
      <c r="M194" s="342"/>
      <c r="N194" s="342"/>
    </row>
    <row r="195" spans="1:14">
      <c r="A195" s="342"/>
      <c r="B195" s="342"/>
      <c r="C195" s="342"/>
      <c r="D195" s="342"/>
      <c r="E195" s="342"/>
      <c r="F195" s="342"/>
      <c r="G195" s="342"/>
      <c r="H195" s="342"/>
      <c r="I195" s="342"/>
      <c r="J195" s="342"/>
      <c r="K195" s="342"/>
      <c r="L195" s="342"/>
      <c r="M195" s="342"/>
      <c r="N195" s="342"/>
    </row>
    <row r="196" spans="1:14">
      <c r="A196" s="342"/>
      <c r="B196" s="342"/>
      <c r="C196" s="342"/>
      <c r="D196" s="342"/>
      <c r="E196" s="342"/>
      <c r="F196" s="342"/>
      <c r="G196" s="342"/>
      <c r="H196" s="342"/>
      <c r="I196" s="342"/>
      <c r="J196" s="342"/>
      <c r="K196" s="342"/>
      <c r="L196" s="342"/>
      <c r="M196" s="342"/>
      <c r="N196" s="342"/>
    </row>
    <row r="198" spans="1:14" ht="15" customHeight="1">
      <c r="A198" s="305" t="s">
        <v>44</v>
      </c>
      <c r="B198" s="305"/>
      <c r="C198" s="305"/>
      <c r="D198" s="305"/>
      <c r="E198" s="305"/>
      <c r="F198" s="305"/>
      <c r="G198" s="305"/>
      <c r="H198" s="305"/>
      <c r="I198" s="305"/>
      <c r="J198" s="305"/>
      <c r="K198" s="108"/>
      <c r="L198" s="108"/>
      <c r="N198" s="326">
        <v>4</v>
      </c>
    </row>
    <row r="199" spans="1:14" ht="18.75" customHeight="1">
      <c r="A199" s="305"/>
      <c r="B199" s="305"/>
      <c r="C199" s="305"/>
      <c r="D199" s="305"/>
      <c r="E199" s="305"/>
      <c r="F199" s="305"/>
      <c r="G199" s="305"/>
      <c r="H199" s="305"/>
      <c r="I199" s="305"/>
      <c r="J199" s="305"/>
      <c r="K199" s="108"/>
      <c r="L199" s="108"/>
      <c r="N199" s="326"/>
    </row>
    <row r="200" spans="1:14" ht="15" customHeight="1"/>
    <row r="203" spans="1:14" ht="15" customHeight="1">
      <c r="D203" s="275" t="s">
        <v>131</v>
      </c>
      <c r="E203" s="275"/>
      <c r="F203" s="275"/>
      <c r="G203" s="275"/>
      <c r="H203" s="275"/>
      <c r="I203" s="275"/>
      <c r="J203" s="275"/>
      <c r="K203" s="276" t="str">
        <f>+K154</f>
        <v>YOUR NAME</v>
      </c>
      <c r="L203" s="276"/>
      <c r="M203" s="276"/>
      <c r="N203" s="276"/>
    </row>
    <row r="204" spans="1:14" ht="15" customHeight="1">
      <c r="D204" s="275"/>
      <c r="E204" s="275"/>
      <c r="F204" s="275"/>
      <c r="G204" s="275"/>
      <c r="H204" s="275"/>
      <c r="I204" s="275"/>
      <c r="J204" s="275"/>
      <c r="K204" s="276"/>
      <c r="L204" s="276"/>
      <c r="M204" s="276"/>
      <c r="N204" s="276"/>
    </row>
    <row r="205" spans="1:14">
      <c r="D205" s="314">
        <f ca="1">TODAY()</f>
        <v>40675</v>
      </c>
      <c r="E205" s="314"/>
      <c r="F205" s="314"/>
      <c r="G205" s="314"/>
      <c r="H205" s="314"/>
      <c r="I205" s="314"/>
      <c r="J205" s="314"/>
      <c r="K205" s="314"/>
      <c r="L205" s="314"/>
      <c r="M205" s="314"/>
      <c r="N205" s="314"/>
    </row>
    <row r="207" spans="1:14" ht="15" customHeight="1">
      <c r="A207" s="288" t="str">
        <f>+A158</f>
        <v>This report reflects assumptions contained in the Notes.</v>
      </c>
      <c r="B207" s="288"/>
      <c r="C207" s="288"/>
      <c r="D207" s="288"/>
      <c r="E207" s="288"/>
      <c r="F207" s="288"/>
      <c r="G207" s="288"/>
      <c r="H207" s="288"/>
      <c r="I207" s="288"/>
      <c r="J207" s="288"/>
      <c r="K207" s="288"/>
      <c r="L207" s="288"/>
      <c r="M207" s="288"/>
      <c r="N207" s="288"/>
    </row>
    <row r="208" spans="1:14">
      <c r="A208" s="270" t="s">
        <v>129</v>
      </c>
      <c r="B208" s="270"/>
      <c r="C208" s="270"/>
      <c r="D208" s="270"/>
      <c r="E208" s="270"/>
      <c r="F208" s="270"/>
      <c r="G208" s="270"/>
      <c r="H208" s="270"/>
      <c r="I208" s="270"/>
      <c r="J208" s="270"/>
      <c r="K208" s="270"/>
      <c r="L208" s="270"/>
      <c r="M208" s="270"/>
      <c r="N208" s="270"/>
    </row>
    <row r="209" spans="1:14" ht="15.75" customHeight="1"/>
    <row r="210" spans="1:14" ht="15" customHeight="1">
      <c r="A210" s="343" t="s">
        <v>155</v>
      </c>
      <c r="B210" s="343"/>
      <c r="C210" s="343"/>
      <c r="D210" s="343"/>
      <c r="E210" s="343"/>
      <c r="F210" s="343"/>
      <c r="G210" s="343"/>
      <c r="H210" s="343"/>
      <c r="I210" s="343"/>
      <c r="J210" s="343"/>
      <c r="K210" s="343"/>
      <c r="L210" s="343"/>
      <c r="M210" s="343"/>
      <c r="N210" s="343"/>
    </row>
    <row r="211" spans="1:14" ht="15" customHeight="1">
      <c r="A211" s="342" t="s">
        <v>158</v>
      </c>
      <c r="B211" s="342"/>
      <c r="C211" s="342"/>
      <c r="D211" s="342"/>
      <c r="E211" s="342"/>
      <c r="F211" s="342"/>
      <c r="G211" s="342"/>
      <c r="H211" s="342"/>
      <c r="I211" s="342"/>
      <c r="J211" s="342"/>
      <c r="K211" s="342"/>
      <c r="L211" s="342"/>
      <c r="M211" s="342"/>
      <c r="N211" s="342"/>
    </row>
    <row r="212" spans="1:14">
      <c r="A212" s="342"/>
      <c r="B212" s="342"/>
      <c r="C212" s="342"/>
      <c r="D212" s="342"/>
      <c r="E212" s="342"/>
      <c r="F212" s="342"/>
      <c r="G212" s="342"/>
      <c r="H212" s="342"/>
      <c r="I212" s="342"/>
      <c r="J212" s="342"/>
      <c r="K212" s="342"/>
      <c r="L212" s="342"/>
      <c r="M212" s="342"/>
      <c r="N212" s="342"/>
    </row>
    <row r="214" spans="1:14" ht="15" customHeight="1">
      <c r="A214" s="343" t="s">
        <v>64</v>
      </c>
      <c r="B214" s="343"/>
      <c r="C214" s="343"/>
      <c r="D214" s="343"/>
      <c r="E214" s="343"/>
      <c r="F214" s="343"/>
      <c r="G214" s="343"/>
      <c r="H214" s="343"/>
      <c r="I214" s="343"/>
      <c r="J214" s="343"/>
      <c r="K214" s="343"/>
      <c r="L214" s="343"/>
      <c r="M214" s="343"/>
      <c r="N214" s="343"/>
    </row>
    <row r="215" spans="1:14">
      <c r="A215" s="342" t="s">
        <v>172</v>
      </c>
      <c r="B215" s="342"/>
      <c r="C215" s="342"/>
      <c r="D215" s="342"/>
      <c r="E215" s="342"/>
      <c r="F215" s="342"/>
      <c r="G215" s="342"/>
      <c r="H215" s="342"/>
      <c r="I215" s="342"/>
      <c r="J215" s="342"/>
      <c r="K215" s="342"/>
      <c r="L215" s="342"/>
      <c r="M215" s="342"/>
      <c r="N215" s="342"/>
    </row>
    <row r="216" spans="1:14" ht="15" customHeight="1">
      <c r="A216" s="342"/>
      <c r="B216" s="342"/>
      <c r="C216" s="342"/>
      <c r="D216" s="342"/>
      <c r="E216" s="342"/>
      <c r="F216" s="342"/>
      <c r="G216" s="342"/>
      <c r="H216" s="342"/>
      <c r="I216" s="342"/>
      <c r="J216" s="342"/>
      <c r="K216" s="342"/>
      <c r="L216" s="342"/>
      <c r="M216" s="342"/>
      <c r="N216" s="342"/>
    </row>
    <row r="217" spans="1:14">
      <c r="A217" s="342"/>
      <c r="B217" s="342"/>
      <c r="C217" s="342"/>
      <c r="D217" s="342"/>
      <c r="E217" s="342"/>
      <c r="F217" s="342"/>
      <c r="G217" s="342"/>
      <c r="H217" s="342"/>
      <c r="I217" s="342"/>
      <c r="J217" s="342"/>
      <c r="K217" s="342"/>
      <c r="L217" s="342"/>
      <c r="M217" s="342"/>
      <c r="N217" s="342"/>
    </row>
    <row r="218" spans="1:14" ht="15" customHeight="1"/>
    <row r="219" spans="1:14">
      <c r="A219" s="284" t="s">
        <v>166</v>
      </c>
      <c r="B219" s="284"/>
      <c r="C219" s="284"/>
      <c r="D219" s="284"/>
      <c r="E219" s="284"/>
      <c r="F219" s="284"/>
      <c r="G219" s="284"/>
      <c r="H219" s="284"/>
      <c r="I219" s="284"/>
      <c r="J219" s="284"/>
      <c r="K219" s="284"/>
      <c r="L219" s="284"/>
      <c r="M219" s="284"/>
      <c r="N219" s="284"/>
    </row>
    <row r="220" spans="1:14" ht="15.75" thickBot="1">
      <c r="A220" s="285"/>
      <c r="B220" s="285"/>
      <c r="C220" s="285"/>
      <c r="D220" s="285"/>
      <c r="E220" s="285"/>
      <c r="F220" s="285"/>
      <c r="G220" s="285"/>
      <c r="H220" s="285"/>
      <c r="I220" s="285"/>
      <c r="J220" s="285"/>
      <c r="K220" s="285"/>
      <c r="L220" s="285"/>
      <c r="M220" s="285"/>
      <c r="N220" s="285"/>
    </row>
    <row r="221" spans="1:14" ht="15" customHeight="1"/>
    <row r="222" spans="1:14" ht="15" customHeight="1">
      <c r="A222" s="344" t="s">
        <v>117</v>
      </c>
      <c r="B222" s="344"/>
      <c r="C222" s="344"/>
      <c r="D222" s="344"/>
      <c r="E222" s="344"/>
      <c r="F222" s="344"/>
      <c r="G222" s="344"/>
      <c r="H222" s="344"/>
      <c r="I222" s="344"/>
      <c r="J222" s="344"/>
      <c r="K222" s="344"/>
      <c r="L222" s="344"/>
      <c r="M222" s="344"/>
      <c r="N222" s="344"/>
    </row>
    <row r="223" spans="1:14">
      <c r="A223" s="342" t="s">
        <v>159</v>
      </c>
      <c r="B223" s="342"/>
      <c r="C223" s="342"/>
      <c r="D223" s="342"/>
      <c r="E223" s="342"/>
      <c r="F223" s="342"/>
      <c r="G223" s="342"/>
      <c r="H223" s="342"/>
      <c r="I223" s="342"/>
      <c r="J223" s="342"/>
      <c r="K223" s="342"/>
      <c r="L223" s="342"/>
      <c r="M223" s="342"/>
      <c r="N223" s="342"/>
    </row>
    <row r="224" spans="1:14" ht="15" customHeight="1">
      <c r="A224" s="342"/>
      <c r="B224" s="342"/>
      <c r="C224" s="342"/>
      <c r="D224" s="342"/>
      <c r="E224" s="342"/>
      <c r="F224" s="342"/>
      <c r="G224" s="342"/>
      <c r="H224" s="342"/>
      <c r="I224" s="342"/>
      <c r="J224" s="342"/>
      <c r="K224" s="342"/>
      <c r="L224" s="342"/>
      <c r="M224" s="342"/>
      <c r="N224" s="342"/>
    </row>
    <row r="225" spans="1:14" ht="15" customHeight="1"/>
    <row r="226" spans="1:14">
      <c r="A226" s="347" t="s">
        <v>118</v>
      </c>
      <c r="B226" s="347"/>
      <c r="C226" s="347"/>
      <c r="D226" s="347"/>
      <c r="E226" s="347"/>
      <c r="F226" s="347"/>
      <c r="G226" s="347"/>
      <c r="H226" s="347"/>
      <c r="I226" s="347"/>
      <c r="J226" s="347"/>
      <c r="K226" s="347"/>
      <c r="L226" s="347"/>
      <c r="M226" s="347"/>
      <c r="N226" s="347"/>
    </row>
    <row r="227" spans="1:14" ht="15" customHeight="1">
      <c r="A227" s="345" t="s">
        <v>160</v>
      </c>
      <c r="B227" s="345"/>
      <c r="C227" s="345"/>
      <c r="D227" s="345"/>
      <c r="E227" s="345"/>
      <c r="F227" s="345"/>
      <c r="G227" s="345"/>
      <c r="H227" s="345"/>
      <c r="I227" s="345"/>
      <c r="J227" s="345"/>
      <c r="K227" s="345"/>
      <c r="L227" s="345"/>
      <c r="M227" s="345"/>
      <c r="N227" s="345"/>
    </row>
    <row r="228" spans="1:14" ht="15" customHeight="1">
      <c r="A228" s="345"/>
      <c r="B228" s="345"/>
      <c r="C228" s="345"/>
      <c r="D228" s="345"/>
      <c r="E228" s="345"/>
      <c r="F228" s="345"/>
      <c r="G228" s="345"/>
      <c r="H228" s="345"/>
      <c r="I228" s="345"/>
      <c r="J228" s="345"/>
      <c r="K228" s="345"/>
      <c r="L228" s="345"/>
      <c r="M228" s="345"/>
      <c r="N228" s="345"/>
    </row>
    <row r="230" spans="1:14">
      <c r="A230" s="343" t="s">
        <v>119</v>
      </c>
      <c r="B230" s="343"/>
      <c r="C230" s="343"/>
      <c r="D230" s="343"/>
      <c r="E230" s="343"/>
      <c r="F230" s="343"/>
      <c r="G230" s="343"/>
      <c r="H230" s="343"/>
      <c r="I230" s="343"/>
      <c r="J230" s="343"/>
      <c r="K230" s="343"/>
      <c r="L230" s="343"/>
      <c r="M230" s="343"/>
      <c r="N230" s="343"/>
    </row>
    <row r="231" spans="1:14">
      <c r="A231" s="342" t="s">
        <v>163</v>
      </c>
      <c r="B231" s="342"/>
      <c r="C231" s="342"/>
      <c r="D231" s="342"/>
      <c r="E231" s="342"/>
      <c r="F231" s="342"/>
      <c r="G231" s="342"/>
      <c r="H231" s="342"/>
      <c r="I231" s="342"/>
      <c r="J231" s="342"/>
      <c r="K231" s="342"/>
      <c r="L231" s="342"/>
      <c r="M231" s="342"/>
      <c r="N231" s="342"/>
    </row>
    <row r="232" spans="1:14" ht="15" customHeight="1">
      <c r="A232" s="342"/>
      <c r="B232" s="342"/>
      <c r="C232" s="342"/>
      <c r="D232" s="342"/>
      <c r="E232" s="342"/>
      <c r="F232" s="342"/>
      <c r="G232" s="342"/>
      <c r="H232" s="342"/>
      <c r="I232" s="342"/>
      <c r="J232" s="342"/>
      <c r="K232" s="342"/>
      <c r="L232" s="342"/>
      <c r="M232" s="342"/>
      <c r="N232" s="342"/>
    </row>
    <row r="233" spans="1:14">
      <c r="A233" s="342"/>
      <c r="B233" s="342"/>
      <c r="C233" s="342"/>
      <c r="D233" s="342"/>
      <c r="E233" s="342"/>
      <c r="F233" s="342"/>
      <c r="G233" s="342"/>
      <c r="H233" s="342"/>
      <c r="I233" s="342"/>
      <c r="J233" s="342"/>
      <c r="K233" s="342"/>
      <c r="L233" s="342"/>
      <c r="M233" s="342"/>
      <c r="N233" s="342"/>
    </row>
    <row r="235" spans="1:14">
      <c r="A235" s="343" t="s">
        <v>120</v>
      </c>
      <c r="B235" s="343"/>
      <c r="C235" s="343"/>
      <c r="D235" s="343"/>
      <c r="E235" s="343"/>
      <c r="F235" s="343"/>
      <c r="G235" s="343"/>
      <c r="H235" s="343"/>
      <c r="I235" s="343"/>
      <c r="J235" s="343"/>
      <c r="K235" s="343"/>
      <c r="L235" s="343"/>
      <c r="M235" s="343"/>
      <c r="N235" s="343"/>
    </row>
    <row r="236" spans="1:14">
      <c r="A236" s="346" t="s">
        <v>164</v>
      </c>
      <c r="B236" s="346"/>
      <c r="C236" s="346"/>
      <c r="D236" s="346"/>
      <c r="E236" s="346"/>
      <c r="F236" s="346"/>
      <c r="G236" s="346"/>
      <c r="H236" s="346"/>
      <c r="I236" s="346"/>
      <c r="J236" s="346"/>
      <c r="K236" s="346"/>
      <c r="L236" s="346"/>
      <c r="M236" s="346"/>
      <c r="N236" s="346"/>
    </row>
    <row r="237" spans="1:14" ht="15" customHeight="1">
      <c r="A237" s="346"/>
      <c r="B237" s="346"/>
      <c r="C237" s="346"/>
      <c r="D237" s="346"/>
      <c r="E237" s="346"/>
      <c r="F237" s="346"/>
      <c r="G237" s="346"/>
      <c r="H237" s="346"/>
      <c r="I237" s="346"/>
      <c r="J237" s="346"/>
      <c r="K237" s="346"/>
      <c r="L237" s="346"/>
      <c r="M237" s="346"/>
      <c r="N237" s="346"/>
    </row>
    <row r="238" spans="1:14">
      <c r="A238" s="346"/>
      <c r="B238" s="346"/>
      <c r="C238" s="346"/>
      <c r="D238" s="346"/>
      <c r="E238" s="346"/>
      <c r="F238" s="346"/>
      <c r="G238" s="346"/>
      <c r="H238" s="346"/>
      <c r="I238" s="346"/>
      <c r="J238" s="346"/>
      <c r="K238" s="346"/>
      <c r="L238" s="346"/>
      <c r="M238" s="346"/>
      <c r="N238" s="346"/>
    </row>
    <row r="240" spans="1:14">
      <c r="A240" s="343" t="s">
        <v>121</v>
      </c>
      <c r="B240" s="343"/>
      <c r="C240" s="343"/>
      <c r="D240" s="343"/>
      <c r="E240" s="343"/>
      <c r="F240" s="343"/>
      <c r="G240" s="343"/>
      <c r="H240" s="343"/>
      <c r="I240" s="343"/>
      <c r="J240" s="343"/>
      <c r="K240" s="343"/>
      <c r="L240" s="343"/>
      <c r="M240" s="343"/>
      <c r="N240" s="343"/>
    </row>
    <row r="241" spans="1:14">
      <c r="A241" s="342" t="s">
        <v>165</v>
      </c>
      <c r="B241" s="342"/>
      <c r="C241" s="342"/>
      <c r="D241" s="342"/>
      <c r="E241" s="342"/>
      <c r="F241" s="342"/>
      <c r="G241" s="342"/>
      <c r="H241" s="342"/>
      <c r="I241" s="342"/>
      <c r="J241" s="342"/>
      <c r="K241" s="342"/>
      <c r="L241" s="342"/>
      <c r="M241" s="342"/>
      <c r="N241" s="342"/>
    </row>
    <row r="242" spans="1:14" ht="15" customHeight="1">
      <c r="A242" s="342"/>
      <c r="B242" s="342"/>
      <c r="C242" s="342"/>
      <c r="D242" s="342"/>
      <c r="E242" s="342"/>
      <c r="F242" s="342"/>
      <c r="G242" s="342"/>
      <c r="H242" s="342"/>
      <c r="I242" s="342"/>
      <c r="J242" s="342"/>
      <c r="K242" s="342"/>
      <c r="L242" s="342"/>
      <c r="M242" s="342"/>
      <c r="N242" s="342"/>
    </row>
    <row r="243" spans="1:14">
      <c r="A243" s="342"/>
      <c r="B243" s="342"/>
      <c r="C243" s="342"/>
      <c r="D243" s="342"/>
      <c r="E243" s="342"/>
      <c r="F243" s="342"/>
      <c r="G243" s="342"/>
      <c r="H243" s="342"/>
      <c r="I243" s="342"/>
      <c r="J243" s="342"/>
      <c r="K243" s="342"/>
      <c r="L243" s="342"/>
      <c r="M243" s="342"/>
      <c r="N243" s="342"/>
    </row>
    <row r="244" spans="1:14">
      <c r="A244" s="342"/>
      <c r="B244" s="342"/>
      <c r="C244" s="342"/>
      <c r="D244" s="342"/>
      <c r="E244" s="342"/>
      <c r="F244" s="342"/>
      <c r="G244" s="342"/>
      <c r="H244" s="342"/>
      <c r="I244" s="342"/>
      <c r="J244" s="342"/>
      <c r="K244" s="342"/>
      <c r="L244" s="342"/>
      <c r="M244" s="342"/>
      <c r="N244" s="342"/>
    </row>
    <row r="247" spans="1:14">
      <c r="A247" s="139"/>
      <c r="B247" s="139"/>
      <c r="C247" s="139"/>
      <c r="D247" s="139"/>
      <c r="E247" s="139"/>
      <c r="F247" s="139"/>
      <c r="G247" s="139"/>
      <c r="H247" s="139"/>
      <c r="I247" s="139"/>
      <c r="J247" s="139"/>
      <c r="K247" s="139"/>
      <c r="L247" s="139"/>
      <c r="M247" s="139"/>
      <c r="N247" s="139"/>
    </row>
    <row r="248" spans="1:14" ht="15" customHeight="1">
      <c r="A248" s="305" t="s">
        <v>44</v>
      </c>
      <c r="B248" s="305"/>
      <c r="C248" s="305"/>
      <c r="D248" s="305"/>
      <c r="E248" s="305"/>
      <c r="F248" s="305"/>
      <c r="G248" s="305"/>
      <c r="H248" s="305"/>
      <c r="I248" s="305"/>
      <c r="J248" s="305"/>
      <c r="K248" s="108"/>
      <c r="L248" s="108"/>
      <c r="N248" s="326">
        <v>5</v>
      </c>
    </row>
    <row r="249" spans="1:14" ht="18.75" customHeight="1">
      <c r="A249" s="305"/>
      <c r="B249" s="305"/>
      <c r="C249" s="305"/>
      <c r="D249" s="305"/>
      <c r="E249" s="305"/>
      <c r="F249" s="305"/>
      <c r="G249" s="305"/>
      <c r="H249" s="305"/>
      <c r="I249" s="305"/>
      <c r="J249" s="305"/>
      <c r="K249" s="108"/>
      <c r="L249" s="108"/>
      <c r="N249" s="326"/>
    </row>
    <row r="253" spans="1:14" ht="15" customHeight="1">
      <c r="D253" s="275" t="s">
        <v>131</v>
      </c>
      <c r="E253" s="275"/>
      <c r="F253" s="275"/>
      <c r="G253" s="275"/>
      <c r="H253" s="275"/>
      <c r="I253" s="275"/>
      <c r="J253" s="275"/>
      <c r="K253" s="276" t="str">
        <f>+K203</f>
        <v>YOUR NAME</v>
      </c>
      <c r="L253" s="276"/>
      <c r="M253" s="276"/>
      <c r="N253" s="276"/>
    </row>
    <row r="254" spans="1:14" ht="15" customHeight="1">
      <c r="D254" s="275"/>
      <c r="E254" s="275"/>
      <c r="F254" s="275"/>
      <c r="G254" s="275"/>
      <c r="H254" s="275"/>
      <c r="I254" s="275"/>
      <c r="J254" s="275"/>
      <c r="K254" s="276"/>
      <c r="L254" s="276"/>
      <c r="M254" s="276"/>
      <c r="N254" s="276"/>
    </row>
    <row r="255" spans="1:14">
      <c r="D255" s="314">
        <f ca="1">TODAY()</f>
        <v>40675</v>
      </c>
      <c r="E255" s="314"/>
      <c r="F255" s="314"/>
      <c r="G255" s="314"/>
      <c r="H255" s="314"/>
      <c r="I255" s="314"/>
      <c r="J255" s="314"/>
      <c r="K255" s="314"/>
      <c r="L255" s="314"/>
      <c r="M255" s="314"/>
      <c r="N255" s="314"/>
    </row>
    <row r="257" spans="1:14" ht="15" customHeight="1">
      <c r="A257" s="288" t="str">
        <f>+A207</f>
        <v>This report reflects assumptions contained in the Notes.</v>
      </c>
      <c r="B257" s="288"/>
      <c r="C257" s="288"/>
      <c r="D257" s="288"/>
      <c r="E257" s="288"/>
      <c r="F257" s="288"/>
      <c r="G257" s="288"/>
      <c r="H257" s="288"/>
      <c r="I257" s="288"/>
      <c r="J257" s="288"/>
      <c r="K257" s="288"/>
      <c r="L257" s="288"/>
      <c r="M257" s="288"/>
      <c r="N257" s="288"/>
    </row>
    <row r="258" spans="1:14">
      <c r="A258" s="270" t="s">
        <v>129</v>
      </c>
      <c r="B258" s="270"/>
      <c r="C258" s="270"/>
      <c r="D258" s="270"/>
      <c r="E258" s="270"/>
      <c r="F258" s="270"/>
      <c r="G258" s="270"/>
      <c r="H258" s="270"/>
      <c r="I258" s="270"/>
      <c r="J258" s="270"/>
      <c r="K258" s="270"/>
      <c r="L258" s="270"/>
      <c r="M258" s="270"/>
      <c r="N258" s="270"/>
    </row>
    <row r="260" spans="1:14" ht="15" customHeight="1">
      <c r="A260" s="284" t="s">
        <v>162</v>
      </c>
      <c r="B260" s="284"/>
      <c r="C260" s="284"/>
      <c r="D260" s="284"/>
      <c r="E260" s="284"/>
      <c r="F260" s="284"/>
      <c r="G260" s="284"/>
      <c r="H260" s="284"/>
      <c r="I260" s="284"/>
      <c r="J260" s="284"/>
      <c r="K260" s="284"/>
      <c r="L260" s="284"/>
      <c r="M260" s="284"/>
      <c r="N260" s="284"/>
    </row>
    <row r="261" spans="1:14" ht="15.75" thickBot="1">
      <c r="A261" s="285"/>
      <c r="B261" s="285"/>
      <c r="C261" s="285"/>
      <c r="D261" s="285"/>
      <c r="E261" s="285"/>
      <c r="F261" s="285"/>
      <c r="G261" s="285"/>
      <c r="H261" s="285"/>
      <c r="I261" s="285"/>
      <c r="J261" s="285"/>
      <c r="K261" s="285"/>
      <c r="L261" s="285"/>
      <c r="M261" s="285"/>
      <c r="N261" s="285"/>
    </row>
    <row r="263" spans="1:14">
      <c r="A263" s="343" t="s">
        <v>167</v>
      </c>
      <c r="B263" s="343"/>
      <c r="C263" s="343"/>
      <c r="D263" s="343"/>
      <c r="E263" s="343"/>
      <c r="F263" s="343"/>
      <c r="G263" s="343"/>
      <c r="H263" s="343"/>
      <c r="I263" s="343"/>
      <c r="J263" s="343"/>
      <c r="K263" s="343"/>
      <c r="L263" s="343"/>
      <c r="M263" s="343"/>
      <c r="N263" s="343"/>
    </row>
    <row r="264" spans="1:14" ht="15" customHeight="1">
      <c r="A264" s="342" t="s">
        <v>169</v>
      </c>
      <c r="B264" s="342"/>
      <c r="C264" s="342"/>
      <c r="D264" s="342"/>
      <c r="E264" s="342"/>
      <c r="F264" s="342"/>
      <c r="G264" s="342"/>
      <c r="H264" s="342"/>
      <c r="I264" s="342"/>
      <c r="J264" s="342"/>
      <c r="K264" s="342"/>
      <c r="L264" s="342"/>
      <c r="M264" s="342"/>
      <c r="N264" s="342"/>
    </row>
    <row r="265" spans="1:14" ht="15" customHeight="1">
      <c r="A265" s="342"/>
      <c r="B265" s="342"/>
      <c r="C265" s="342"/>
      <c r="D265" s="342"/>
      <c r="E265" s="342"/>
      <c r="F265" s="342"/>
      <c r="G265" s="342"/>
      <c r="H265" s="342"/>
      <c r="I265" s="342"/>
      <c r="J265" s="342"/>
      <c r="K265" s="342"/>
      <c r="L265" s="342"/>
      <c r="M265" s="342"/>
      <c r="N265" s="342"/>
    </row>
    <row r="266" spans="1:14" ht="15.75" customHeight="1">
      <c r="A266" s="342"/>
      <c r="B266" s="342"/>
      <c r="C266" s="342"/>
      <c r="D266" s="342"/>
      <c r="E266" s="342"/>
      <c r="F266" s="342"/>
      <c r="G266" s="342"/>
      <c r="H266" s="342"/>
      <c r="I266" s="342"/>
      <c r="J266" s="342"/>
      <c r="K266" s="342"/>
      <c r="L266" s="342"/>
      <c r="M266" s="342"/>
      <c r="N266" s="342"/>
    </row>
    <row r="267" spans="1:14">
      <c r="A267" s="342"/>
      <c r="B267" s="342"/>
      <c r="C267" s="342"/>
      <c r="D267" s="342"/>
      <c r="E267" s="342"/>
      <c r="F267" s="342"/>
      <c r="G267" s="342"/>
      <c r="H267" s="342"/>
      <c r="I267" s="342"/>
      <c r="J267" s="342"/>
      <c r="K267" s="342"/>
      <c r="L267" s="342"/>
      <c r="M267" s="342"/>
      <c r="N267" s="342"/>
    </row>
    <row r="268" spans="1:14">
      <c r="A268" s="342"/>
      <c r="B268" s="342"/>
      <c r="C268" s="342"/>
      <c r="D268" s="342"/>
      <c r="E268" s="342"/>
      <c r="F268" s="342"/>
      <c r="G268" s="342"/>
      <c r="H268" s="342"/>
      <c r="I268" s="342"/>
      <c r="J268" s="342"/>
      <c r="K268" s="342"/>
      <c r="L268" s="342"/>
      <c r="M268" s="342"/>
      <c r="N268" s="342"/>
    </row>
    <row r="269" spans="1:14" ht="15" customHeight="1">
      <c r="A269" s="342"/>
      <c r="B269" s="342"/>
      <c r="C269" s="342"/>
      <c r="D269" s="342"/>
      <c r="E269" s="342"/>
      <c r="F269" s="342"/>
      <c r="G269" s="342"/>
      <c r="H269" s="342"/>
      <c r="I269" s="342"/>
      <c r="J269" s="342"/>
      <c r="K269" s="342"/>
      <c r="L269" s="342"/>
      <c r="M269" s="342"/>
      <c r="N269" s="342"/>
    </row>
    <row r="270" spans="1:14">
      <c r="A270" s="342"/>
      <c r="B270" s="342"/>
      <c r="C270" s="342"/>
      <c r="D270" s="342"/>
      <c r="E270" s="342"/>
      <c r="F270" s="342"/>
      <c r="G270" s="342"/>
      <c r="H270" s="342"/>
      <c r="I270" s="342"/>
      <c r="J270" s="342"/>
      <c r="K270" s="342"/>
      <c r="L270" s="342"/>
      <c r="M270" s="342"/>
      <c r="N270" s="342"/>
    </row>
    <row r="271" spans="1:14">
      <c r="A271" s="342"/>
      <c r="B271" s="342"/>
      <c r="C271" s="342"/>
      <c r="D271" s="342"/>
      <c r="E271" s="342"/>
      <c r="F271" s="342"/>
      <c r="G271" s="342"/>
      <c r="H271" s="342"/>
      <c r="I271" s="342"/>
      <c r="J271" s="342"/>
      <c r="K271" s="342"/>
      <c r="L271" s="342"/>
      <c r="M271" s="342"/>
      <c r="N271" s="342"/>
    </row>
    <row r="272" spans="1:14">
      <c r="A272" s="342"/>
      <c r="B272" s="342"/>
      <c r="C272" s="342"/>
      <c r="D272" s="342"/>
      <c r="E272" s="342"/>
      <c r="F272" s="342"/>
      <c r="G272" s="342"/>
      <c r="H272" s="342"/>
      <c r="I272" s="342"/>
      <c r="J272" s="342"/>
      <c r="K272" s="342"/>
      <c r="L272" s="342"/>
      <c r="M272" s="342"/>
      <c r="N272" s="342"/>
    </row>
    <row r="273" spans="1:16">
      <c r="A273" s="342"/>
      <c r="B273" s="342"/>
      <c r="C273" s="342"/>
      <c r="D273" s="342"/>
      <c r="E273" s="342"/>
      <c r="F273" s="342"/>
      <c r="G273" s="342"/>
      <c r="H273" s="342"/>
      <c r="I273" s="342"/>
      <c r="J273" s="342"/>
      <c r="K273" s="342"/>
      <c r="L273" s="342"/>
      <c r="M273" s="342"/>
      <c r="N273" s="342"/>
    </row>
    <row r="274" spans="1:16">
      <c r="A274" s="342"/>
      <c r="B274" s="342"/>
      <c r="C274" s="342"/>
      <c r="D274" s="342"/>
      <c r="E274" s="342"/>
      <c r="F274" s="342"/>
      <c r="G274" s="342"/>
      <c r="H274" s="342"/>
      <c r="I274" s="342"/>
      <c r="J274" s="342"/>
      <c r="K274" s="342"/>
      <c r="L274" s="342"/>
      <c r="M274" s="342"/>
      <c r="N274" s="342"/>
    </row>
    <row r="275" spans="1:16" ht="15" customHeight="1">
      <c r="A275" s="138"/>
      <c r="B275" s="138"/>
      <c r="C275" s="138"/>
      <c r="D275" s="138"/>
      <c r="E275" s="138"/>
      <c r="F275" s="138"/>
      <c r="G275" s="138"/>
      <c r="H275" s="138"/>
      <c r="I275" s="138"/>
      <c r="J275" s="138"/>
      <c r="K275" s="138"/>
      <c r="L275" s="138"/>
      <c r="M275" s="138"/>
      <c r="N275" s="138"/>
    </row>
    <row r="276" spans="1:16" ht="15" customHeight="1">
      <c r="A276" s="350" t="s">
        <v>170</v>
      </c>
      <c r="B276" s="350"/>
      <c r="C276" s="350"/>
      <c r="D276" s="350"/>
      <c r="E276" s="350"/>
      <c r="F276" s="350"/>
      <c r="G276" s="350"/>
      <c r="H276" s="350"/>
      <c r="I276" s="350"/>
      <c r="J276" s="350"/>
      <c r="K276" s="350"/>
      <c r="L276" s="350"/>
      <c r="M276" s="350"/>
      <c r="N276" s="350"/>
    </row>
    <row r="277" spans="1:16">
      <c r="A277" s="342" t="s">
        <v>179</v>
      </c>
      <c r="B277" s="342"/>
      <c r="C277" s="342"/>
      <c r="D277" s="342"/>
      <c r="E277" s="342"/>
      <c r="F277" s="342"/>
      <c r="G277" s="342"/>
      <c r="H277" s="342"/>
      <c r="I277" s="342"/>
      <c r="J277" s="342"/>
      <c r="K277" s="342"/>
      <c r="L277" s="342"/>
      <c r="M277" s="342"/>
      <c r="N277" s="342"/>
    </row>
    <row r="278" spans="1:16">
      <c r="A278" s="342"/>
      <c r="B278" s="342"/>
      <c r="C278" s="342"/>
      <c r="D278" s="342"/>
      <c r="E278" s="342"/>
      <c r="F278" s="342"/>
      <c r="G278" s="342"/>
      <c r="H278" s="342"/>
      <c r="I278" s="342"/>
      <c r="J278" s="342"/>
      <c r="K278" s="342"/>
      <c r="L278" s="342"/>
      <c r="M278" s="342"/>
      <c r="N278" s="342"/>
    </row>
    <row r="279" spans="1:16">
      <c r="A279" s="342"/>
      <c r="B279" s="342"/>
      <c r="C279" s="342"/>
      <c r="D279" s="342"/>
      <c r="E279" s="342"/>
      <c r="F279" s="342"/>
      <c r="G279" s="342"/>
      <c r="H279" s="342"/>
      <c r="I279" s="342"/>
      <c r="J279" s="342"/>
      <c r="K279" s="342"/>
      <c r="L279" s="342"/>
      <c r="M279" s="342"/>
      <c r="N279" s="342"/>
    </row>
    <row r="280" spans="1:16">
      <c r="A280" s="342"/>
      <c r="B280" s="342"/>
      <c r="C280" s="342"/>
      <c r="D280" s="342"/>
      <c r="E280" s="342"/>
      <c r="F280" s="342"/>
      <c r="G280" s="342"/>
      <c r="H280" s="342"/>
      <c r="I280" s="342"/>
      <c r="J280" s="342"/>
      <c r="K280" s="342"/>
      <c r="L280" s="342"/>
      <c r="M280" s="342"/>
      <c r="N280" s="342"/>
    </row>
    <row r="281" spans="1:16">
      <c r="A281" s="138"/>
      <c r="B281" s="138"/>
      <c r="C281" s="138"/>
      <c r="D281" s="138"/>
      <c r="E281" s="138"/>
      <c r="F281" s="138"/>
      <c r="G281" s="138"/>
      <c r="H281" s="138"/>
      <c r="I281" s="138"/>
      <c r="J281" s="138"/>
      <c r="K281" s="138"/>
      <c r="L281" s="138"/>
      <c r="M281" s="138"/>
      <c r="N281" s="138"/>
    </row>
    <row r="282" spans="1:16" ht="15" customHeight="1">
      <c r="A282" s="349" t="s">
        <v>42</v>
      </c>
      <c r="B282" s="349"/>
      <c r="C282" s="349"/>
      <c r="D282" s="349"/>
      <c r="E282" s="349"/>
      <c r="F282" s="349"/>
      <c r="G282" s="349"/>
      <c r="H282" s="349"/>
      <c r="I282" s="349"/>
      <c r="J282" s="349"/>
      <c r="K282" s="349"/>
      <c r="L282" s="349"/>
      <c r="M282" s="349"/>
      <c r="N282" s="349"/>
    </row>
    <row r="283" spans="1:16" ht="15" customHeight="1">
      <c r="A283" s="342" t="s">
        <v>128</v>
      </c>
      <c r="B283" s="342"/>
      <c r="C283" s="342"/>
      <c r="D283" s="342"/>
      <c r="E283" s="342"/>
      <c r="F283" s="342"/>
      <c r="G283" s="342"/>
      <c r="H283" s="342"/>
      <c r="I283" s="342"/>
      <c r="J283" s="342"/>
      <c r="K283" s="342"/>
      <c r="L283" s="342"/>
      <c r="M283" s="342"/>
      <c r="N283" s="342"/>
    </row>
    <row r="284" spans="1:16">
      <c r="A284" s="342"/>
      <c r="B284" s="342"/>
      <c r="C284" s="342"/>
      <c r="D284" s="342"/>
      <c r="E284" s="342"/>
      <c r="F284" s="342"/>
      <c r="G284" s="342"/>
      <c r="H284" s="342"/>
      <c r="I284" s="342"/>
      <c r="J284" s="342"/>
      <c r="K284" s="342"/>
      <c r="L284" s="342"/>
      <c r="M284" s="342"/>
      <c r="N284" s="342"/>
    </row>
    <row r="285" spans="1:16">
      <c r="A285" s="342"/>
      <c r="B285" s="342"/>
      <c r="C285" s="342"/>
      <c r="D285" s="342"/>
      <c r="E285" s="342"/>
      <c r="F285" s="342"/>
      <c r="G285" s="342"/>
      <c r="H285" s="342"/>
      <c r="I285" s="342"/>
      <c r="J285" s="342"/>
      <c r="K285" s="342"/>
      <c r="L285" s="342"/>
      <c r="M285" s="342"/>
      <c r="N285" s="342"/>
      <c r="P285" s="170"/>
    </row>
    <row r="286" spans="1:16">
      <c r="A286" s="342"/>
      <c r="B286" s="342"/>
      <c r="C286" s="342"/>
      <c r="D286" s="342"/>
      <c r="E286" s="342"/>
      <c r="F286" s="342"/>
      <c r="G286" s="342"/>
      <c r="H286" s="342"/>
      <c r="I286" s="342"/>
      <c r="J286" s="342"/>
      <c r="K286" s="342"/>
      <c r="L286" s="342"/>
      <c r="M286" s="342"/>
      <c r="N286" s="342"/>
    </row>
    <row r="287" spans="1:16">
      <c r="A287" s="342"/>
      <c r="B287" s="342"/>
      <c r="C287" s="342"/>
      <c r="D287" s="342"/>
      <c r="E287" s="342"/>
      <c r="F287" s="342"/>
      <c r="G287" s="342"/>
      <c r="H287" s="342"/>
      <c r="I287" s="342"/>
      <c r="J287" s="342"/>
      <c r="K287" s="342"/>
      <c r="L287" s="342"/>
      <c r="M287" s="342"/>
      <c r="N287" s="342"/>
    </row>
    <row r="288" spans="1:16">
      <c r="A288" s="342"/>
      <c r="B288" s="342"/>
      <c r="C288" s="342"/>
      <c r="D288" s="342"/>
      <c r="E288" s="342"/>
      <c r="F288" s="342"/>
      <c r="G288" s="342"/>
      <c r="H288" s="342"/>
      <c r="I288" s="342"/>
      <c r="J288" s="342"/>
      <c r="K288" s="342"/>
      <c r="L288" s="342"/>
      <c r="M288" s="342"/>
      <c r="N288" s="342"/>
    </row>
    <row r="289" spans="1:14">
      <c r="A289" s="342"/>
      <c r="B289" s="342"/>
      <c r="C289" s="342"/>
      <c r="D289" s="342"/>
      <c r="E289" s="342"/>
      <c r="F289" s="342"/>
      <c r="G289" s="342"/>
      <c r="H289" s="342"/>
      <c r="I289" s="342"/>
      <c r="J289" s="342"/>
      <c r="K289" s="342"/>
      <c r="L289" s="342"/>
      <c r="M289" s="342"/>
      <c r="N289" s="342"/>
    </row>
    <row r="290" spans="1:14" ht="15" customHeight="1">
      <c r="A290" s="342"/>
      <c r="B290" s="342"/>
      <c r="C290" s="342"/>
      <c r="D290" s="342"/>
      <c r="E290" s="342"/>
      <c r="F290" s="342"/>
      <c r="G290" s="342"/>
      <c r="H290" s="342"/>
      <c r="I290" s="342"/>
      <c r="J290" s="342"/>
      <c r="K290" s="342"/>
      <c r="L290" s="342"/>
      <c r="M290" s="342"/>
      <c r="N290" s="342"/>
    </row>
    <row r="291" spans="1:14" ht="15" customHeight="1">
      <c r="A291" s="342" t="s">
        <v>130</v>
      </c>
      <c r="B291" s="342"/>
      <c r="C291" s="342"/>
      <c r="D291" s="342"/>
      <c r="E291" s="342"/>
      <c r="F291" s="342"/>
      <c r="G291" s="342"/>
      <c r="H291" s="342"/>
      <c r="I291" s="342"/>
      <c r="J291" s="342"/>
      <c r="K291" s="342"/>
      <c r="L291" s="342"/>
      <c r="M291" s="342"/>
      <c r="N291" s="342"/>
    </row>
    <row r="292" spans="1:14" ht="15" customHeight="1">
      <c r="A292" s="342"/>
      <c r="B292" s="342"/>
      <c r="C292" s="342"/>
      <c r="D292" s="342"/>
      <c r="E292" s="342"/>
      <c r="F292" s="342"/>
      <c r="G292" s="342"/>
      <c r="H292" s="342"/>
      <c r="I292" s="342"/>
      <c r="J292" s="342"/>
      <c r="K292" s="342"/>
      <c r="L292" s="342"/>
      <c r="M292" s="342"/>
      <c r="N292" s="342"/>
    </row>
    <row r="293" spans="1:14" ht="15" customHeight="1">
      <c r="A293" s="342"/>
      <c r="B293" s="342"/>
      <c r="C293" s="342"/>
      <c r="D293" s="342"/>
      <c r="E293" s="342"/>
      <c r="F293" s="342"/>
      <c r="G293" s="342"/>
      <c r="H293" s="342"/>
      <c r="I293" s="342"/>
      <c r="J293" s="342"/>
      <c r="K293" s="342"/>
      <c r="L293" s="342"/>
      <c r="M293" s="342"/>
      <c r="N293" s="342"/>
    </row>
    <row r="294" spans="1:14" ht="15" customHeight="1">
      <c r="A294" s="342"/>
      <c r="B294" s="342"/>
      <c r="C294" s="342"/>
      <c r="D294" s="342"/>
      <c r="E294" s="342"/>
      <c r="F294" s="342"/>
      <c r="G294" s="342"/>
      <c r="H294" s="342"/>
      <c r="I294" s="342"/>
      <c r="J294" s="342"/>
      <c r="K294" s="342"/>
      <c r="L294" s="342"/>
      <c r="M294" s="342"/>
      <c r="N294" s="342"/>
    </row>
    <row r="295" spans="1:14">
      <c r="A295" s="138"/>
      <c r="B295" s="138"/>
      <c r="C295" s="138"/>
      <c r="D295" s="138"/>
      <c r="E295" s="138"/>
      <c r="F295" s="138"/>
      <c r="G295" s="138"/>
      <c r="H295" s="138"/>
      <c r="I295" s="138"/>
      <c r="J295" s="138"/>
      <c r="K295" s="138"/>
      <c r="L295" s="138"/>
      <c r="M295" s="138"/>
      <c r="N295" s="138"/>
    </row>
    <row r="296" spans="1:14" ht="15" customHeight="1">
      <c r="A296" s="348" t="s">
        <v>178</v>
      </c>
      <c r="B296" s="348"/>
      <c r="C296" s="348"/>
      <c r="D296" s="348"/>
      <c r="E296" s="348"/>
      <c r="F296" s="348"/>
      <c r="G296" s="348"/>
      <c r="H296" s="348"/>
      <c r="I296" s="348"/>
      <c r="J296" s="348"/>
      <c r="K296" s="348"/>
      <c r="L296" s="348"/>
      <c r="M296" s="348"/>
      <c r="N296" s="348"/>
    </row>
    <row r="298" spans="1:14" ht="15" customHeight="1">
      <c r="A298" s="305" t="s">
        <v>44</v>
      </c>
      <c r="B298" s="305"/>
      <c r="C298" s="305"/>
      <c r="D298" s="305"/>
      <c r="E298" s="305"/>
      <c r="F298" s="305"/>
      <c r="G298" s="305"/>
      <c r="H298" s="305"/>
      <c r="I298" s="305"/>
      <c r="J298" s="305"/>
      <c r="K298" s="108"/>
      <c r="L298" s="108"/>
      <c r="N298" s="326">
        <v>6</v>
      </c>
    </row>
    <row r="299" spans="1:14" ht="18.75" customHeight="1">
      <c r="A299" s="305"/>
      <c r="B299" s="305"/>
      <c r="C299" s="305"/>
      <c r="D299" s="305"/>
      <c r="E299" s="305"/>
      <c r="F299" s="305"/>
      <c r="G299" s="305"/>
      <c r="H299" s="305"/>
      <c r="I299" s="305"/>
      <c r="J299" s="305"/>
      <c r="K299" s="108"/>
      <c r="L299" s="108"/>
      <c r="N299" s="326"/>
    </row>
  </sheetData>
  <sheetProtection password="8EE0" sheet="1" objects="1" scenarios="1" selectLockedCells="1" selectUnlockedCells="1"/>
  <mergeCells count="177">
    <mergeCell ref="K175:M175"/>
    <mergeCell ref="A298:J299"/>
    <mergeCell ref="N298:N299"/>
    <mergeCell ref="A235:N235"/>
    <mergeCell ref="A263:N263"/>
    <mergeCell ref="A257:N257"/>
    <mergeCell ref="A240:N240"/>
    <mergeCell ref="A282:N282"/>
    <mergeCell ref="A291:N294"/>
    <mergeCell ref="A276:N276"/>
    <mergeCell ref="A277:N280"/>
    <mergeCell ref="A296:N296"/>
    <mergeCell ref="A258:N258"/>
    <mergeCell ref="A283:N290"/>
    <mergeCell ref="A260:N261"/>
    <mergeCell ref="A264:N274"/>
    <mergeCell ref="D255:N255"/>
    <mergeCell ref="A231:N233"/>
    <mergeCell ref="A236:N238"/>
    <mergeCell ref="A241:N244"/>
    <mergeCell ref="A248:J249"/>
    <mergeCell ref="N248:N249"/>
    <mergeCell ref="A226:N226"/>
    <mergeCell ref="K178:M178"/>
    <mergeCell ref="K179:M179"/>
    <mergeCell ref="A176:I179"/>
    <mergeCell ref="A198:J199"/>
    <mergeCell ref="N198:N199"/>
    <mergeCell ref="A181:N182"/>
    <mergeCell ref="A189:N189"/>
    <mergeCell ref="A184:N184"/>
    <mergeCell ref="K176:M176"/>
    <mergeCell ref="K177:M177"/>
    <mergeCell ref="A230:N230"/>
    <mergeCell ref="A210:N210"/>
    <mergeCell ref="A208:N208"/>
    <mergeCell ref="A211:N212"/>
    <mergeCell ref="A215:N217"/>
    <mergeCell ref="A219:N220"/>
    <mergeCell ref="A222:N222"/>
    <mergeCell ref="A223:N224"/>
    <mergeCell ref="A227:N228"/>
    <mergeCell ref="K203:N204"/>
    <mergeCell ref="A185:N188"/>
    <mergeCell ref="A190:N192"/>
    <mergeCell ref="A193:N193"/>
    <mergeCell ref="A194:N196"/>
    <mergeCell ref="A214:N214"/>
    <mergeCell ref="D205:N205"/>
    <mergeCell ref="A207:N207"/>
    <mergeCell ref="E173:F173"/>
    <mergeCell ref="E174:F174"/>
    <mergeCell ref="E170:F170"/>
    <mergeCell ref="A169:D169"/>
    <mergeCell ref="E169:F169"/>
    <mergeCell ref="D203:J204"/>
    <mergeCell ref="A175:F175"/>
    <mergeCell ref="K170:M170"/>
    <mergeCell ref="A170:D170"/>
    <mergeCell ref="K172:M172"/>
    <mergeCell ref="K173:M173"/>
    <mergeCell ref="K174:M174"/>
    <mergeCell ref="K171:M171"/>
    <mergeCell ref="H169:I174"/>
    <mergeCell ref="A172:F172"/>
    <mergeCell ref="A173:D173"/>
    <mergeCell ref="A174:D174"/>
    <mergeCell ref="B15:F24"/>
    <mergeCell ref="H15:M16"/>
    <mergeCell ref="H17:M24"/>
    <mergeCell ref="D117:E117"/>
    <mergeCell ref="N149:N150"/>
    <mergeCell ref="E78:H78"/>
    <mergeCell ref="E85:H85"/>
    <mergeCell ref="N99:N100"/>
    <mergeCell ref="A71:D71"/>
    <mergeCell ref="J123:L123"/>
    <mergeCell ref="A167:D167"/>
    <mergeCell ref="E167:F167"/>
    <mergeCell ref="A166:D166"/>
    <mergeCell ref="H164:N164"/>
    <mergeCell ref="D156:N156"/>
    <mergeCell ref="N50:N51"/>
    <mergeCell ref="J125:L125"/>
    <mergeCell ref="J139:L139"/>
    <mergeCell ref="J141:L141"/>
    <mergeCell ref="J140:L140"/>
    <mergeCell ref="E165:F165"/>
    <mergeCell ref="E166:F166"/>
    <mergeCell ref="A72:D72"/>
    <mergeCell ref="H68:I68"/>
    <mergeCell ref="D106:N106"/>
    <mergeCell ref="A108:N108"/>
    <mergeCell ref="E79:H79"/>
    <mergeCell ref="J142:L142"/>
    <mergeCell ref="J124:L124"/>
    <mergeCell ref="J126:L126"/>
    <mergeCell ref="E80:H80"/>
    <mergeCell ref="H67:I67"/>
    <mergeCell ref="A168:D168"/>
    <mergeCell ref="A164:F164"/>
    <mergeCell ref="H69:I69"/>
    <mergeCell ref="A149:J150"/>
    <mergeCell ref="C135:I135"/>
    <mergeCell ref="C136:I136"/>
    <mergeCell ref="C137:I137"/>
    <mergeCell ref="C138:I138"/>
    <mergeCell ref="E77:H77"/>
    <mergeCell ref="A68:D68"/>
    <mergeCell ref="E168:F168"/>
    <mergeCell ref="B1:I3"/>
    <mergeCell ref="A50:J51"/>
    <mergeCell ref="B113:M113"/>
    <mergeCell ref="D57:N57"/>
    <mergeCell ref="A59:N59"/>
    <mergeCell ref="A61:N62"/>
    <mergeCell ref="E76:H76"/>
    <mergeCell ref="C26:M42"/>
    <mergeCell ref="H70:I70"/>
    <mergeCell ref="H71:I71"/>
    <mergeCell ref="A70:D70"/>
    <mergeCell ref="J68:M68"/>
    <mergeCell ref="B26:B42"/>
    <mergeCell ref="A60:N60"/>
    <mergeCell ref="A69:D69"/>
    <mergeCell ref="A66:E66"/>
    <mergeCell ref="D55:J56"/>
    <mergeCell ref="D154:J155"/>
    <mergeCell ref="K154:N155"/>
    <mergeCell ref="H66:M66"/>
    <mergeCell ref="C139:I139"/>
    <mergeCell ref="C140:I140"/>
    <mergeCell ref="C141:I141"/>
    <mergeCell ref="C142:I142"/>
    <mergeCell ref="J67:M67"/>
    <mergeCell ref="J69:M69"/>
    <mergeCell ref="J70:M70"/>
    <mergeCell ref="D133:E133"/>
    <mergeCell ref="H133:I133"/>
    <mergeCell ref="C122:I122"/>
    <mergeCell ref="D115:E115"/>
    <mergeCell ref="K55:N56"/>
    <mergeCell ref="D104:J105"/>
    <mergeCell ref="K104:N105"/>
    <mergeCell ref="A99:J100"/>
    <mergeCell ref="J71:M71"/>
    <mergeCell ref="A67:D67"/>
    <mergeCell ref="D116:E116"/>
    <mergeCell ref="A165:D165"/>
    <mergeCell ref="C124:I124"/>
    <mergeCell ref="C125:I125"/>
    <mergeCell ref="C119:I119"/>
    <mergeCell ref="A109:N109"/>
    <mergeCell ref="A110:N111"/>
    <mergeCell ref="N123:O123"/>
    <mergeCell ref="N139:O139"/>
    <mergeCell ref="A158:N158"/>
    <mergeCell ref="C126:I126"/>
    <mergeCell ref="B128:M128"/>
    <mergeCell ref="H117:I117"/>
    <mergeCell ref="C123:I123"/>
    <mergeCell ref="D253:J254"/>
    <mergeCell ref="K253:N254"/>
    <mergeCell ref="I166:N167"/>
    <mergeCell ref="H166:H167"/>
    <mergeCell ref="K169:M169"/>
    <mergeCell ref="A160:N161"/>
    <mergeCell ref="C120:I120"/>
    <mergeCell ref="C121:I121"/>
    <mergeCell ref="B129:M129"/>
    <mergeCell ref="A159:N159"/>
    <mergeCell ref="H115:I115"/>
    <mergeCell ref="H116:I116"/>
    <mergeCell ref="D131:E131"/>
    <mergeCell ref="D132:E132"/>
    <mergeCell ref="H131:I131"/>
    <mergeCell ref="H132:I132"/>
  </mergeCells>
  <conditionalFormatting sqref="H166">
    <cfRule type="colorScale" priority="12">
      <colorScale>
        <cfvo type="num" val="1"/>
        <cfvo type="num" val="5"/>
        <cfvo type="num" val="9"/>
        <color rgb="FF92D050"/>
        <color rgb="FFFFC000"/>
        <color rgb="FFFF0000"/>
      </colorScale>
    </cfRule>
  </conditionalFormatting>
  <conditionalFormatting sqref="J179">
    <cfRule type="expression" dxfId="10" priority="11" stopIfTrue="1">
      <formula>H166&gt;0</formula>
    </cfRule>
  </conditionalFormatting>
  <conditionalFormatting sqref="J178">
    <cfRule type="expression" dxfId="9" priority="10" stopIfTrue="1">
      <formula>H166&gt;1.43</formula>
    </cfRule>
  </conditionalFormatting>
  <conditionalFormatting sqref="J177">
    <cfRule type="expression" dxfId="8" priority="9" stopIfTrue="1">
      <formula>H166&gt;2.09</formula>
    </cfRule>
  </conditionalFormatting>
  <conditionalFormatting sqref="J176">
    <cfRule type="expression" dxfId="7" priority="8" stopIfTrue="1">
      <formula>H166&gt;2.75</formula>
    </cfRule>
  </conditionalFormatting>
  <conditionalFormatting sqref="J175">
    <cfRule type="expression" dxfId="6" priority="7" stopIfTrue="1">
      <formula>H166&gt;3.65</formula>
    </cfRule>
  </conditionalFormatting>
  <conditionalFormatting sqref="J174">
    <cfRule type="expression" dxfId="5" priority="6" stopIfTrue="1">
      <formula>H166&gt;4.33</formula>
    </cfRule>
  </conditionalFormatting>
  <conditionalFormatting sqref="J173">
    <cfRule type="expression" dxfId="4" priority="5" stopIfTrue="1">
      <formula>H166&gt;5.35</formula>
    </cfRule>
  </conditionalFormatting>
  <conditionalFormatting sqref="J172">
    <cfRule type="expression" dxfId="3" priority="4" stopIfTrue="1">
      <formula>H166&gt;6.36</formula>
    </cfRule>
  </conditionalFormatting>
  <conditionalFormatting sqref="J171">
    <cfRule type="expression" dxfId="2" priority="3" stopIfTrue="1">
      <formula>H166&gt;7.35</formula>
    </cfRule>
  </conditionalFormatting>
  <conditionalFormatting sqref="J170">
    <cfRule type="expression" dxfId="1" priority="2" stopIfTrue="1">
      <formula>H166&gt;8.34</formula>
    </cfRule>
  </conditionalFormatting>
  <conditionalFormatting sqref="J169">
    <cfRule type="expression" dxfId="0" priority="1" stopIfTrue="1">
      <formula>H166=9</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BRAINOV</vt:lpstr>
      <vt:lpstr>Calculator } ASSET ALLOCATOR</vt:lpstr>
      <vt:lpstr>FULL REPORT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Octavio Viana</dc:creator>
  <cp:lastModifiedBy>anonymous</cp:lastModifiedBy>
  <cp:lastPrinted>2008-03-09T22:55:48Z</cp:lastPrinted>
  <dcterms:created xsi:type="dcterms:W3CDTF">2007-11-21T18:32:20Z</dcterms:created>
  <dcterms:modified xsi:type="dcterms:W3CDTF">2011-05-11T23:42:32Z</dcterms:modified>
</cp:coreProperties>
</file>